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" yWindow="60" windowWidth="10155" windowHeight="5655" tabRatio="745" firstSheet="3" activeTab="5"/>
  </bookViews>
  <sheets>
    <sheet name="Introduction" sheetId="6" r:id="rId1"/>
    <sheet name="Step 1 General Info" sheetId="1" r:id="rId2"/>
    <sheet name="Step 2 Wind farm" sheetId="2" r:id="rId3"/>
    <sheet name="Step 3 Financial" sheetId="3" r:id="rId4"/>
    <sheet name="Summary Results" sheetId="4" r:id="rId5"/>
    <sheet name="Uncertainty Analysis" sheetId="7" r:id="rId6"/>
    <sheet name="Detailed Yearly Proforma" sheetId="5" r:id="rId7"/>
    <sheet name="Plant Capacity Factor" sheetId="8" r:id="rId8"/>
  </sheets>
  <definedNames>
    <definedName name="_xlnm.Print_Area" localSheetId="6">'Detailed Yearly Proforma'!$A$1:$AA$42</definedName>
    <definedName name="_xlnm.Print_Area" localSheetId="0">Introduction!$B$1:$C$40</definedName>
    <definedName name="_xlnm.Print_Titles" localSheetId="6">'Detailed Yearly Proforma'!$A:$A</definedName>
  </definedNames>
  <calcPr calcId="125725"/>
</workbook>
</file>

<file path=xl/calcChain.xml><?xml version="1.0" encoding="utf-8"?>
<calcChain xmlns="http://schemas.openxmlformats.org/spreadsheetml/2006/main">
  <c r="B8" i="5"/>
  <c r="C18" i="3"/>
  <c r="C3"/>
  <c r="D24" l="1"/>
  <c r="D22"/>
  <c r="C4" i="2" l="1"/>
  <c r="B1" i="5" l="1"/>
  <c r="T8"/>
  <c r="C12" i="2"/>
  <c r="C37" i="3"/>
  <c r="C38" s="1"/>
  <c r="AA37" i="5"/>
  <c r="Z37"/>
  <c r="Y37"/>
  <c r="X37"/>
  <c r="W37"/>
  <c r="V37"/>
  <c r="U37"/>
  <c r="T37"/>
  <c r="S37"/>
  <c r="R37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AA30"/>
  <c r="Z30"/>
  <c r="Y30"/>
  <c r="X30"/>
  <c r="W30"/>
  <c r="V30"/>
  <c r="U30"/>
  <c r="T30"/>
  <c r="S30"/>
  <c r="R30"/>
  <c r="Q30"/>
  <c r="P30"/>
  <c r="O30"/>
  <c r="N30"/>
  <c r="M3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AA23"/>
  <c r="Z23"/>
  <c r="Y23"/>
  <c r="X23"/>
  <c r="W23"/>
  <c r="V23"/>
  <c r="U23"/>
  <c r="T23"/>
  <c r="S23"/>
  <c r="R23"/>
  <c r="AA22"/>
  <c r="AA36" s="1"/>
  <c r="Z22"/>
  <c r="Z36" s="1"/>
  <c r="Y22"/>
  <c r="Y36" s="1"/>
  <c r="X22"/>
  <c r="X36" s="1"/>
  <c r="W22"/>
  <c r="W36" s="1"/>
  <c r="U85"/>
  <c r="T85"/>
  <c r="S85"/>
  <c r="R85"/>
  <c r="Q85"/>
  <c r="P85"/>
  <c r="O85"/>
  <c r="N85"/>
  <c r="M85"/>
  <c r="L85"/>
  <c r="K85"/>
  <c r="J85"/>
  <c r="I85"/>
  <c r="H85"/>
  <c r="G85"/>
  <c r="F85"/>
  <c r="E85"/>
  <c r="D85"/>
  <c r="C85"/>
  <c r="B85"/>
  <c r="B76"/>
  <c r="B77"/>
  <c r="B3"/>
  <c r="B81" s="1"/>
  <c r="D18" i="3" l="1"/>
  <c r="T72" i="5"/>
  <c r="S72"/>
  <c r="U72"/>
  <c r="Q72"/>
  <c r="R72"/>
  <c r="B4" i="4"/>
  <c r="L8" i="5"/>
  <c r="Y8"/>
  <c r="P8"/>
  <c r="H8"/>
  <c r="X8"/>
  <c r="D8"/>
  <c r="W8"/>
  <c r="F8"/>
  <c r="J8"/>
  <c r="N8"/>
  <c r="R8"/>
  <c r="V8"/>
  <c r="Z8"/>
  <c r="C8"/>
  <c r="G8"/>
  <c r="K8"/>
  <c r="O8"/>
  <c r="S8"/>
  <c r="AA8"/>
  <c r="E8"/>
  <c r="I8"/>
  <c r="M8"/>
  <c r="Q8"/>
  <c r="U8"/>
  <c r="B42"/>
  <c r="C31"/>
  <c r="C86"/>
  <c r="D22" s="1"/>
  <c r="D36" s="1"/>
  <c r="G86"/>
  <c r="H22" s="1"/>
  <c r="H36" s="1"/>
  <c r="F31"/>
  <c r="E31"/>
  <c r="D31"/>
  <c r="P86"/>
  <c r="Q22" s="1"/>
  <c r="Q36" s="1"/>
  <c r="B84"/>
  <c r="U86"/>
  <c r="V22" s="1"/>
  <c r="H86"/>
  <c r="I22" s="1"/>
  <c r="I36" s="1"/>
  <c r="I86"/>
  <c r="J22" s="1"/>
  <c r="J36" s="1"/>
  <c r="J86"/>
  <c r="K22" s="1"/>
  <c r="K36" s="1"/>
  <c r="M86"/>
  <c r="N22" s="1"/>
  <c r="N36" s="1"/>
  <c r="E86"/>
  <c r="F22" s="1"/>
  <c r="F36" s="1"/>
  <c r="R86"/>
  <c r="S22" s="1"/>
  <c r="S36" s="1"/>
  <c r="F86"/>
  <c r="G22" s="1"/>
  <c r="G36" s="1"/>
  <c r="N86"/>
  <c r="O22" s="1"/>
  <c r="O36" s="1"/>
  <c r="Q86"/>
  <c r="R22" s="1"/>
  <c r="K86"/>
  <c r="L22" s="1"/>
  <c r="L36" s="1"/>
  <c r="O86"/>
  <c r="P22" s="1"/>
  <c r="P36" s="1"/>
  <c r="S86"/>
  <c r="T22" s="1"/>
  <c r="B86"/>
  <c r="B7" i="4" s="1"/>
  <c r="B75" i="5"/>
  <c r="B68" s="1"/>
  <c r="D86"/>
  <c r="E22" s="1"/>
  <c r="E36" s="1"/>
  <c r="L86"/>
  <c r="M22" s="1"/>
  <c r="M36" s="1"/>
  <c r="T86"/>
  <c r="U22" s="1"/>
  <c r="D76"/>
  <c r="D75"/>
  <c r="C26" i="3"/>
  <c r="B5" i="5" s="1"/>
  <c r="B38" s="1"/>
  <c r="D7" l="1"/>
  <c r="D15" s="1"/>
  <c r="D18" s="1"/>
  <c r="J7"/>
  <c r="C7"/>
  <c r="V7"/>
  <c r="S7"/>
  <c r="L7"/>
  <c r="Q7"/>
  <c r="D30"/>
  <c r="H7"/>
  <c r="X7"/>
  <c r="O7"/>
  <c r="F7"/>
  <c r="Z7"/>
  <c r="I7"/>
  <c r="T7"/>
  <c r="K7"/>
  <c r="K9" s="1"/>
  <c r="AA7"/>
  <c r="R7"/>
  <c r="Y7"/>
  <c r="U7"/>
  <c r="P7"/>
  <c r="G7"/>
  <c r="W7"/>
  <c r="N7"/>
  <c r="M7"/>
  <c r="E7"/>
  <c r="B40"/>
  <c r="B87"/>
  <c r="C84" s="1"/>
  <c r="C87" s="1"/>
  <c r="D84" s="1"/>
  <c r="D87" s="1"/>
  <c r="E84" s="1"/>
  <c r="E87" s="1"/>
  <c r="F84" s="1"/>
  <c r="F87" s="1"/>
  <c r="G84" s="1"/>
  <c r="G87" s="1"/>
  <c r="H84" s="1"/>
  <c r="H87" s="1"/>
  <c r="I84" s="1"/>
  <c r="I87" s="1"/>
  <c r="J84" s="1"/>
  <c r="J87" s="1"/>
  <c r="K84" s="1"/>
  <c r="K87" s="1"/>
  <c r="L84" s="1"/>
  <c r="L87" s="1"/>
  <c r="M84" s="1"/>
  <c r="M87" s="1"/>
  <c r="N84" s="1"/>
  <c r="N87" s="1"/>
  <c r="O84" s="1"/>
  <c r="O87" s="1"/>
  <c r="P84" s="1"/>
  <c r="P87" s="1"/>
  <c r="Q84" s="1"/>
  <c r="Q87" s="1"/>
  <c r="R84" s="1"/>
  <c r="R87" s="1"/>
  <c r="S84" s="1"/>
  <c r="S87" s="1"/>
  <c r="T84" s="1"/>
  <c r="T87" s="1"/>
  <c r="U84" s="1"/>
  <c r="U87" s="1"/>
  <c r="T36"/>
  <c r="U36"/>
  <c r="R36"/>
  <c r="V36"/>
  <c r="B69"/>
  <c r="B74"/>
  <c r="B6" i="4" s="1"/>
  <c r="B89" i="5"/>
  <c r="C22"/>
  <c r="C36" s="1"/>
  <c r="D9" l="1"/>
  <c r="D11"/>
  <c r="W15"/>
  <c r="W18" s="1"/>
  <c r="W25" s="1"/>
  <c r="U15"/>
  <c r="U18" s="1"/>
  <c r="U25" s="1"/>
  <c r="K15"/>
  <c r="K18" s="1"/>
  <c r="F30"/>
  <c r="F15"/>
  <c r="F18" s="1"/>
  <c r="V15"/>
  <c r="V18" s="1"/>
  <c r="V25" s="1"/>
  <c r="N15"/>
  <c r="N18" s="1"/>
  <c r="AA15"/>
  <c r="AA18" s="1"/>
  <c r="AA25" s="1"/>
  <c r="Z15"/>
  <c r="Z18" s="1"/>
  <c r="Z25" s="1"/>
  <c r="H15"/>
  <c r="H18" s="1"/>
  <c r="S15"/>
  <c r="S18" s="1"/>
  <c r="S25" s="1"/>
  <c r="M15"/>
  <c r="M18" s="1"/>
  <c r="P15"/>
  <c r="P18" s="1"/>
  <c r="R15"/>
  <c r="R18" s="1"/>
  <c r="R25" s="1"/>
  <c r="I15"/>
  <c r="I18" s="1"/>
  <c r="X15"/>
  <c r="X18" s="1"/>
  <c r="X25" s="1"/>
  <c r="L15"/>
  <c r="L18" s="1"/>
  <c r="J30"/>
  <c r="J15"/>
  <c r="J18" s="1"/>
  <c r="E15"/>
  <c r="E18" s="1"/>
  <c r="G15"/>
  <c r="G18" s="1"/>
  <c r="Y15"/>
  <c r="Y18" s="1"/>
  <c r="Y25" s="1"/>
  <c r="T15"/>
  <c r="T18" s="1"/>
  <c r="T25" s="1"/>
  <c r="O15"/>
  <c r="O18" s="1"/>
  <c r="Q15"/>
  <c r="Q18" s="1"/>
  <c r="C11"/>
  <c r="C15"/>
  <c r="C18" s="1"/>
  <c r="B5" i="4" s="1"/>
  <c r="V9" i="5"/>
  <c r="F11"/>
  <c r="F9"/>
  <c r="S11"/>
  <c r="S9"/>
  <c r="H11"/>
  <c r="X9"/>
  <c r="Q9"/>
  <c r="L9"/>
  <c r="J11"/>
  <c r="P9"/>
  <c r="P11"/>
  <c r="X11"/>
  <c r="J9"/>
  <c r="I11"/>
  <c r="C9"/>
  <c r="K30"/>
  <c r="G9"/>
  <c r="W9"/>
  <c r="U9"/>
  <c r="Y9"/>
  <c r="W11"/>
  <c r="E9"/>
  <c r="Q11"/>
  <c r="O11"/>
  <c r="E30"/>
  <c r="T11"/>
  <c r="M9"/>
  <c r="G11"/>
  <c r="V11"/>
  <c r="B2" i="4"/>
  <c r="L11" i="5"/>
  <c r="L30"/>
  <c r="O9"/>
  <c r="U11"/>
  <c r="K11"/>
  <c r="K12" s="1"/>
  <c r="Y11"/>
  <c r="T9"/>
  <c r="E11"/>
  <c r="C30"/>
  <c r="R11"/>
  <c r="Z9"/>
  <c r="H9"/>
  <c r="R9"/>
  <c r="I30"/>
  <c r="G30"/>
  <c r="N9"/>
  <c r="N11"/>
  <c r="AA9"/>
  <c r="H30"/>
  <c r="Z11"/>
  <c r="M11"/>
  <c r="AA11"/>
  <c r="I9"/>
  <c r="B70"/>
  <c r="C37" s="1"/>
  <c r="C23"/>
  <c r="D12" l="1"/>
  <c r="D21" s="1"/>
  <c r="G12"/>
  <c r="G21" s="1"/>
  <c r="F12"/>
  <c r="F21" s="1"/>
  <c r="C12"/>
  <c r="C21" s="1"/>
  <c r="J12"/>
  <c r="J21" s="1"/>
  <c r="H12"/>
  <c r="H21" s="1"/>
  <c r="K21"/>
  <c r="R12"/>
  <c r="R26" s="1"/>
  <c r="R29" s="1"/>
  <c r="R32" s="1"/>
  <c r="R33" s="1"/>
  <c r="R38" s="1"/>
  <c r="Y12"/>
  <c r="Y26" s="1"/>
  <c r="Y29" s="1"/>
  <c r="Y32" s="1"/>
  <c r="Y33" s="1"/>
  <c r="Y38" s="1"/>
  <c r="V12"/>
  <c r="V21" s="1"/>
  <c r="S12"/>
  <c r="S21" s="1"/>
  <c r="T12"/>
  <c r="T21" s="1"/>
  <c r="Z12"/>
  <c r="Z21" s="1"/>
  <c r="W12"/>
  <c r="W21" s="1"/>
  <c r="P12"/>
  <c r="P21" s="1"/>
  <c r="X12"/>
  <c r="X21" s="1"/>
  <c r="Q12"/>
  <c r="Q21" s="1"/>
  <c r="L12"/>
  <c r="L21" s="1"/>
  <c r="I12"/>
  <c r="I21" s="1"/>
  <c r="C25"/>
  <c r="E12"/>
  <c r="E21" s="1"/>
  <c r="U12"/>
  <c r="U21" s="1"/>
  <c r="O12"/>
  <c r="O21" s="1"/>
  <c r="M12"/>
  <c r="M21" s="1"/>
  <c r="N12"/>
  <c r="N21" s="1"/>
  <c r="AA12"/>
  <c r="B71"/>
  <c r="C68" s="1"/>
  <c r="C69" s="1"/>
  <c r="C70" s="1"/>
  <c r="V26" l="1"/>
  <c r="V29" s="1"/>
  <c r="V32" s="1"/>
  <c r="V33" s="1"/>
  <c r="V38" s="1"/>
  <c r="C26"/>
  <c r="C32" s="1"/>
  <c r="C33" s="1"/>
  <c r="C38" s="1"/>
  <c r="S26"/>
  <c r="S29" s="1"/>
  <c r="S32" s="1"/>
  <c r="S33" s="1"/>
  <c r="S38" s="1"/>
  <c r="X26"/>
  <c r="X29" s="1"/>
  <c r="X32" s="1"/>
  <c r="X33" s="1"/>
  <c r="X38" s="1"/>
  <c r="R21"/>
  <c r="Y21"/>
  <c r="T26"/>
  <c r="T29" s="1"/>
  <c r="T32" s="1"/>
  <c r="T33" s="1"/>
  <c r="T38" s="1"/>
  <c r="Z26"/>
  <c r="Z29" s="1"/>
  <c r="Z32" s="1"/>
  <c r="Z33" s="1"/>
  <c r="Z38" s="1"/>
  <c r="W26"/>
  <c r="W29" s="1"/>
  <c r="W32" s="1"/>
  <c r="W33" s="1"/>
  <c r="W38" s="1"/>
  <c r="U26"/>
  <c r="U29" s="1"/>
  <c r="U32" s="1"/>
  <c r="U33" s="1"/>
  <c r="U38" s="1"/>
  <c r="B3" i="4"/>
  <c r="AA21" i="5"/>
  <c r="AA26"/>
  <c r="AA29" s="1"/>
  <c r="AA32" s="1"/>
  <c r="AA33" s="1"/>
  <c r="AA38" s="1"/>
  <c r="C71"/>
  <c r="D68" s="1"/>
  <c r="D69" s="1"/>
  <c r="D37"/>
  <c r="D23"/>
  <c r="D25" s="1"/>
  <c r="D26" s="1"/>
  <c r="D32" s="1"/>
  <c r="C72" s="1"/>
  <c r="C42" l="1"/>
  <c r="B72"/>
  <c r="C40"/>
  <c r="D33"/>
  <c r="D38" s="1"/>
  <c r="D70"/>
  <c r="E23"/>
  <c r="E25" s="1"/>
  <c r="E26" s="1"/>
  <c r="E32" s="1"/>
  <c r="D72" l="1"/>
  <c r="E33"/>
  <c r="D40"/>
  <c r="D42"/>
  <c r="D71"/>
  <c r="E68" s="1"/>
  <c r="E69" s="1"/>
  <c r="E37"/>
  <c r="E38" l="1"/>
  <c r="E70"/>
  <c r="F23"/>
  <c r="F25" s="1"/>
  <c r="F26" s="1"/>
  <c r="F32" s="1"/>
  <c r="E42" l="1"/>
  <c r="E40"/>
  <c r="E72"/>
  <c r="F33"/>
  <c r="E71"/>
  <c r="F68" s="1"/>
  <c r="F69" s="1"/>
  <c r="F37"/>
  <c r="F38" l="1"/>
  <c r="F70"/>
  <c r="G23"/>
  <c r="G25" s="1"/>
  <c r="G26" s="1"/>
  <c r="G32" s="1"/>
  <c r="F40" l="1"/>
  <c r="F72"/>
  <c r="F42"/>
  <c r="G33"/>
  <c r="F71"/>
  <c r="G68" s="1"/>
  <c r="G69" s="1"/>
  <c r="H23" s="1"/>
  <c r="H25" s="1"/>
  <c r="H26" s="1"/>
  <c r="H32" s="1"/>
  <c r="G37"/>
  <c r="H33" l="1"/>
  <c r="G38"/>
  <c r="G42" s="1"/>
  <c r="G70"/>
  <c r="G72" s="1"/>
  <c r="G40" l="1"/>
  <c r="G71"/>
  <c r="H68" s="1"/>
  <c r="H69" s="1"/>
  <c r="I23" s="1"/>
  <c r="I25" s="1"/>
  <c r="I26" s="1"/>
  <c r="I32" s="1"/>
  <c r="H37"/>
  <c r="H38" s="1"/>
  <c r="I33" l="1"/>
  <c r="H40"/>
  <c r="H70"/>
  <c r="H71" s="1"/>
  <c r="I68" s="1"/>
  <c r="I69" s="1"/>
  <c r="H42"/>
  <c r="H72" l="1"/>
  <c r="I37"/>
  <c r="I38" s="1"/>
  <c r="I42" s="1"/>
  <c r="J23"/>
  <c r="J25" s="1"/>
  <c r="J26" s="1"/>
  <c r="J29" s="1"/>
  <c r="J32" s="1"/>
  <c r="I70"/>
  <c r="I72" l="1"/>
  <c r="J33"/>
  <c r="I40"/>
  <c r="I71"/>
  <c r="J68" s="1"/>
  <c r="J69" s="1"/>
  <c r="J37"/>
  <c r="J38" l="1"/>
  <c r="J42" s="1"/>
  <c r="J70"/>
  <c r="K23"/>
  <c r="K25" s="1"/>
  <c r="K26" s="1"/>
  <c r="K29" s="1"/>
  <c r="K32" s="1"/>
  <c r="J40" l="1"/>
  <c r="J72"/>
  <c r="K33"/>
  <c r="J71"/>
  <c r="K68" s="1"/>
  <c r="K69" s="1"/>
  <c r="L23" s="1"/>
  <c r="L25" s="1"/>
  <c r="L26" s="1"/>
  <c r="L29" s="1"/>
  <c r="L32" s="1"/>
  <c r="K37"/>
  <c r="L33" l="1"/>
  <c r="K38"/>
  <c r="K40" s="1"/>
  <c r="K70"/>
  <c r="K72" s="1"/>
  <c r="K42" l="1"/>
  <c r="K71"/>
  <c r="L68" s="1"/>
  <c r="L37"/>
  <c r="L38" s="1"/>
  <c r="L40" s="1"/>
  <c r="L42" l="1"/>
  <c r="L69"/>
  <c r="L70" s="1"/>
  <c r="L71" l="1"/>
  <c r="M68" s="1"/>
  <c r="M37"/>
  <c r="M23"/>
  <c r="M25" s="1"/>
  <c r="M26" s="1"/>
  <c r="M29" s="1"/>
  <c r="M32" s="1"/>
  <c r="L72" s="1"/>
  <c r="M33" l="1"/>
  <c r="M38" s="1"/>
  <c r="M69"/>
  <c r="M70" s="1"/>
  <c r="M40" l="1"/>
  <c r="M42"/>
  <c r="M71"/>
  <c r="N68" s="1"/>
  <c r="N37"/>
  <c r="N23"/>
  <c r="N25" s="1"/>
  <c r="N26" s="1"/>
  <c r="N29" s="1"/>
  <c r="N32" s="1"/>
  <c r="M72" s="1"/>
  <c r="N33" l="1"/>
  <c r="N38" s="1"/>
  <c r="N40" s="1"/>
  <c r="N69"/>
  <c r="N70" s="1"/>
  <c r="N42" l="1"/>
  <c r="O23"/>
  <c r="O25" s="1"/>
  <c r="O26" s="1"/>
  <c r="O29" s="1"/>
  <c r="O32" s="1"/>
  <c r="N72" s="1"/>
  <c r="N71"/>
  <c r="O68" s="1"/>
  <c r="O37"/>
  <c r="O33" l="1"/>
  <c r="O38" s="1"/>
  <c r="O40" s="1"/>
  <c r="O70"/>
  <c r="O69"/>
  <c r="O42" l="1"/>
  <c r="P23"/>
  <c r="P25" s="1"/>
  <c r="P26" s="1"/>
  <c r="P29" s="1"/>
  <c r="P32" s="1"/>
  <c r="O72" s="1"/>
  <c r="O71"/>
  <c r="P68" s="1"/>
  <c r="P37"/>
  <c r="P33" l="1"/>
  <c r="P38" s="1"/>
  <c r="P69"/>
  <c r="P70" s="1"/>
  <c r="Q37" s="1"/>
  <c r="P40" l="1"/>
  <c r="P42"/>
  <c r="Q23"/>
  <c r="Q25" s="1"/>
  <c r="Q26" s="1"/>
  <c r="Q29" s="1"/>
  <c r="Q32" s="1"/>
  <c r="P72" s="1"/>
  <c r="P71"/>
  <c r="B54" l="1"/>
  <c r="B12" i="4" s="1"/>
  <c r="C12" s="1"/>
  <c r="B55" i="5"/>
  <c r="B13" i="4" s="1"/>
  <c r="Q33" i="5"/>
  <c r="Q38" s="1"/>
  <c r="B47" l="1"/>
  <c r="B46"/>
  <c r="B9" i="4" s="1"/>
  <c r="C9" s="1"/>
  <c r="B45" i="5"/>
  <c r="B11" i="4" s="1"/>
  <c r="B50" i="5"/>
  <c r="B52"/>
  <c r="B51"/>
  <c r="Q40"/>
  <c r="R40" s="1"/>
  <c r="S40" s="1"/>
  <c r="T40" s="1"/>
  <c r="U40" s="1"/>
  <c r="V40" s="1"/>
  <c r="W40" s="1"/>
  <c r="X40" s="1"/>
  <c r="Y40" s="1"/>
  <c r="Z40" s="1"/>
  <c r="AA40" s="1"/>
  <c r="Q42"/>
  <c r="R42" s="1"/>
  <c r="S42" s="1"/>
  <c r="T42" s="1"/>
  <c r="U42" s="1"/>
  <c r="V42" s="1"/>
  <c r="W42" s="1"/>
  <c r="X42" s="1"/>
  <c r="Y42" s="1"/>
  <c r="Z42" s="1"/>
  <c r="AA42" s="1"/>
  <c r="B48" l="1"/>
  <c r="B10" i="4" s="1"/>
</calcChain>
</file>

<file path=xl/comments1.xml><?xml version="1.0" encoding="utf-8"?>
<comments xmlns="http://schemas.openxmlformats.org/spreadsheetml/2006/main">
  <authors>
    <author>pramod</author>
  </authors>
  <commentList>
    <comment ref="B7" authorId="0">
      <text>
        <r>
          <rPr>
            <b/>
            <sz val="9"/>
            <color indexed="81"/>
            <rFont val="Tahoma"/>
            <family val="2"/>
          </rPr>
          <t>pramod:</t>
        </r>
        <r>
          <rPr>
            <sz val="9"/>
            <color indexed="81"/>
            <rFont val="Tahoma"/>
            <family val="2"/>
          </rPr>
          <t xml:space="preserve">
Production tax credit is a generation-based incentive in USA &amp; other countries.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pramod:</t>
        </r>
        <r>
          <rPr>
            <sz val="9"/>
            <color indexed="81"/>
            <rFont val="Tahoma"/>
            <family val="2"/>
          </rPr>
          <t xml:space="preserve">
Number of years PTC or generation based incentive is available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pramod:</t>
        </r>
        <r>
          <rPr>
            <sz val="9"/>
            <color indexed="81"/>
            <rFont val="Tahoma"/>
            <family val="2"/>
          </rPr>
          <t xml:space="preserve">
Total capital cost of wind farm.  This is cost from start to commissioning of wind park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pramod:</t>
        </r>
        <r>
          <rPr>
            <sz val="9"/>
            <color indexed="81"/>
            <rFont val="Tahoma"/>
            <family val="2"/>
          </rPr>
          <t xml:space="preserve">
Cost of scheduled maintenance, insurance, administration, labor, etc.  Do not include: Interest, depreciation</t>
        </r>
      </text>
    </comment>
    <comment ref="B27" authorId="0">
      <text>
        <r>
          <rPr>
            <b/>
            <sz val="9"/>
            <color indexed="81"/>
            <rFont val="Tahoma"/>
            <family val="2"/>
          </rPr>
          <t>pramod:</t>
        </r>
        <r>
          <rPr>
            <sz val="9"/>
            <color indexed="81"/>
            <rFont val="Tahoma"/>
            <family val="2"/>
          </rPr>
          <t xml:space="preserve">
Equity IRR is not used in computation.  It is used to compare against the computed equity IRR</t>
        </r>
      </text>
    </comment>
  </commentList>
</comments>
</file>

<file path=xl/sharedStrings.xml><?xml version="1.0" encoding="utf-8"?>
<sst xmlns="http://schemas.openxmlformats.org/spreadsheetml/2006/main" count="237" uniqueCount="197">
  <si>
    <t>A</t>
  </si>
  <si>
    <t>Name of the Project</t>
  </si>
  <si>
    <t>B</t>
  </si>
  <si>
    <t>Name of the Developer</t>
  </si>
  <si>
    <t>C</t>
  </si>
  <si>
    <t>Location of project (lat/long)</t>
  </si>
  <si>
    <t>D</t>
  </si>
  <si>
    <t>Name of town/village</t>
  </si>
  <si>
    <t>Name of province</t>
  </si>
  <si>
    <t>E</t>
  </si>
  <si>
    <t>F</t>
  </si>
  <si>
    <t>Size of land (Hectares)</t>
  </si>
  <si>
    <t>G</t>
  </si>
  <si>
    <t>Number of turbines</t>
  </si>
  <si>
    <t>Rated Capacity of turbines (MW)</t>
  </si>
  <si>
    <t>Turbine manufacturer</t>
  </si>
  <si>
    <t>Turbine model</t>
  </si>
  <si>
    <t>Plant capacity factor (gross)</t>
  </si>
  <si>
    <t>H</t>
  </si>
  <si>
    <t>Plant losses</t>
  </si>
  <si>
    <t>I</t>
  </si>
  <si>
    <t>Plant capacity factor (net)</t>
  </si>
  <si>
    <t>J</t>
  </si>
  <si>
    <t>Average Annual Energy Production (MWh)</t>
  </si>
  <si>
    <t>Tariff ($/kWh)</t>
  </si>
  <si>
    <t>Total installed cost ($/kW)</t>
  </si>
  <si>
    <t>Total Operations &amp; Maintenance cost ($/kWh)</t>
  </si>
  <si>
    <t>Debt (%)</t>
  </si>
  <si>
    <t>Interest rate (%)</t>
  </si>
  <si>
    <t>Duration of loan (years)</t>
  </si>
  <si>
    <t>Equity (%)</t>
  </si>
  <si>
    <t>Expected Equity rate of return (%)</t>
  </si>
  <si>
    <t>Inflation</t>
  </si>
  <si>
    <t>Expected life of wind project</t>
  </si>
  <si>
    <t>Tax rate</t>
  </si>
  <si>
    <t>Method of depreciation</t>
  </si>
  <si>
    <t>Years of depreciation</t>
  </si>
  <si>
    <t>REVENUE</t>
  </si>
  <si>
    <t>TOTAL CAPITAL COST</t>
  </si>
  <si>
    <t>TOTAL RECURRING COST</t>
  </si>
  <si>
    <t>FINANCIAL PARAMETERS</t>
  </si>
  <si>
    <t>K</t>
  </si>
  <si>
    <t>L</t>
  </si>
  <si>
    <t>M</t>
  </si>
  <si>
    <t>N</t>
  </si>
  <si>
    <t>O</t>
  </si>
  <si>
    <t>P</t>
  </si>
  <si>
    <t>Straight line</t>
  </si>
  <si>
    <t>Q</t>
  </si>
  <si>
    <t>Total average annual revenue</t>
  </si>
  <si>
    <t>Total annual principal + interest payment</t>
  </si>
  <si>
    <t>Annual increase in tariff (%)</t>
  </si>
  <si>
    <t>Renewable Energy Credits + Carbon Credits ($/kWh)</t>
  </si>
  <si>
    <t>Annual increase in O&amp;M cost</t>
  </si>
  <si>
    <t>R</t>
  </si>
  <si>
    <t>Discount rate of NPV</t>
  </si>
  <si>
    <t>For questions or reporting errors, please contact: Pramod@i-windenergy.com</t>
  </si>
  <si>
    <t>Year</t>
  </si>
  <si>
    <t>Project Name</t>
  </si>
  <si>
    <t>CAPITAL EXPENDITURES</t>
  </si>
  <si>
    <t>Equity Investment (Project Cost Less Debt &amp; Grants)</t>
  </si>
  <si>
    <t>REVENUES</t>
  </si>
  <si>
    <t>PPA Rate ($/kWh)</t>
  </si>
  <si>
    <t>Electricity Sales Revenue per PPA</t>
  </si>
  <si>
    <t>Green Tag Rate ($/kWh)</t>
  </si>
  <si>
    <t>Green Tag Sales Revenue</t>
  </si>
  <si>
    <t>Total Annual Revenues</t>
  </si>
  <si>
    <t>EXPENSES</t>
  </si>
  <si>
    <t>Operations &amp; Maintenance</t>
  </si>
  <si>
    <t>Operations &amp; Maintenance Contingency Fund</t>
  </si>
  <si>
    <t>Other Expense</t>
  </si>
  <si>
    <t>Total Annual Operating Expenses</t>
  </si>
  <si>
    <t>EBITDA &amp; Taxable Income</t>
  </si>
  <si>
    <t>EBITDA (Operating Income)</t>
  </si>
  <si>
    <t>Depreciation</t>
  </si>
  <si>
    <t>Debt Interest Payment</t>
  </si>
  <si>
    <t>Total Annual Expenses</t>
  </si>
  <si>
    <t>Taxable Income</t>
  </si>
  <si>
    <t>TAXES</t>
  </si>
  <si>
    <t>Local Owner Income Tax Benefit/(Liability)</t>
  </si>
  <si>
    <t>Production Tax Credit</t>
  </si>
  <si>
    <t>Investment Tax Credit (Lump Sum)</t>
  </si>
  <si>
    <t>Total Tax Benefit/(Liability)</t>
  </si>
  <si>
    <t>After-tax profit</t>
  </si>
  <si>
    <t>AFTER-TAX CASH FLOWS</t>
  </si>
  <si>
    <t>Add Back Depreciation</t>
  </si>
  <si>
    <t>Less Debt Principal Payment</t>
  </si>
  <si>
    <t>Net After-Tax Project Cash Flow</t>
  </si>
  <si>
    <t>Local Owner Return</t>
  </si>
  <si>
    <t>Accumulated Liquidity</t>
  </si>
  <si>
    <t>NPV (20 Years)</t>
  </si>
  <si>
    <t>mIRR (20 Years)</t>
  </si>
  <si>
    <t>Simple Equity Payback Period</t>
  </si>
  <si>
    <t>IRR, 20 years</t>
  </si>
  <si>
    <t>NPV (25 Years)</t>
  </si>
  <si>
    <t>mIRR (25 Years)</t>
  </si>
  <si>
    <t>IRR, 25 years</t>
  </si>
  <si>
    <t>Years --&gt;</t>
  </si>
  <si>
    <t>Total Size of Wind farm (MW)</t>
  </si>
  <si>
    <t>Debt Service Schedule</t>
  </si>
  <si>
    <t>DSCR</t>
  </si>
  <si>
    <t>number of payments</t>
  </si>
  <si>
    <t>interest rate</t>
  </si>
  <si>
    <t>Depreciation - Modified Accelerated Cost Recovery System</t>
  </si>
  <si>
    <t>Mid-Point of Year</t>
  </si>
  <si>
    <t>MACRS Schedule</t>
  </si>
  <si>
    <t>Production tax credit ($/kWh)</t>
  </si>
  <si>
    <t>Duration of PTC (yrs)</t>
  </si>
  <si>
    <t>Annual increase of PTC (%)</t>
  </si>
  <si>
    <t>Investment tax credit (%)</t>
  </si>
  <si>
    <t>Duration of ITC (yrs)</t>
  </si>
  <si>
    <t>Modified IRR finance rate</t>
  </si>
  <si>
    <t>Modified IRR reinvest rate</t>
  </si>
  <si>
    <t>Minimum DSCR</t>
  </si>
  <si>
    <t>Average DSCR</t>
  </si>
  <si>
    <t>Minimum Debt Service Coverage Ratio (DSCR)</t>
  </si>
  <si>
    <t>Total annual depreciation (year 1)</t>
  </si>
  <si>
    <t>Total annual O&amp;M cost (year 1)</t>
  </si>
  <si>
    <t>Total average annual energy production (MWh)</t>
  </si>
  <si>
    <t>Equity Simple payback period (years)</t>
  </si>
  <si>
    <t>FINANCIAL METRICS</t>
  </si>
  <si>
    <t>Hub height (m)</t>
  </si>
  <si>
    <t>Rotor diameter (m)</t>
  </si>
  <si>
    <t>S</t>
  </si>
  <si>
    <t>T</t>
  </si>
  <si>
    <t>U</t>
  </si>
  <si>
    <t>V</t>
  </si>
  <si>
    <t>W</t>
  </si>
  <si>
    <t>X</t>
  </si>
  <si>
    <t>Y</t>
  </si>
  <si>
    <t>Item</t>
  </si>
  <si>
    <t>Data</t>
  </si>
  <si>
    <t>Output</t>
  </si>
  <si>
    <t>Equity Internal rate of return (20 years)</t>
  </si>
  <si>
    <t>Net Present Value (20 years)</t>
  </si>
  <si>
    <t>Levelized cost of energy (20 years)</t>
  </si>
  <si>
    <t>All the results are computed assuming life of project=20 years</t>
  </si>
  <si>
    <t>Annual increase in value of credits (%)</t>
  </si>
  <si>
    <t>Total installed cost (in '000)</t>
  </si>
  <si>
    <t>Total Installed Project Cost in '000</t>
  </si>
  <si>
    <t>Principal ('000)</t>
  </si>
  <si>
    <t>Net Book Value ('000)</t>
  </si>
  <si>
    <t>Beginning Balance ('000)</t>
  </si>
  <si>
    <t>Interest Payment ('000)</t>
  </si>
  <si>
    <t>Principal Payment ('000)</t>
  </si>
  <si>
    <t>Ending Balance ('000)</t>
  </si>
  <si>
    <t>Installment Payment ('000)</t>
  </si>
  <si>
    <t>Beginning Value ('000)</t>
  </si>
  <si>
    <t>Depreciation ('000)</t>
  </si>
  <si>
    <t>Ending Value ('000)</t>
  </si>
  <si>
    <t>Total Depreciation ('000)</t>
  </si>
  <si>
    <t xml:space="preserve">MWh/yr </t>
  </si>
  <si>
    <t>P50</t>
  </si>
  <si>
    <t>P84</t>
  </si>
  <si>
    <t>P90</t>
  </si>
  <si>
    <t>P95</t>
  </si>
  <si>
    <t>Overall uncertainty in annual energy production</t>
  </si>
  <si>
    <t>Guidelines: 20% if no wind measurement or wind measurement with &lt;50m met-tower or less than one year of measurement data at 50m, plain terrain</t>
  </si>
  <si>
    <t>15% if wind measurement with met-mast 50m or higher, with low correlation of measured vs long-term reference data; plain terrain</t>
  </si>
  <si>
    <t>12% if wind measurement with met-mast 50m or higher, with high correlation of measured vs long-term reference data; plain terrain</t>
  </si>
  <si>
    <t>Instructions</t>
  </si>
  <si>
    <t>Step 1 General Info: Fill out general information about wind project</t>
  </si>
  <si>
    <t>Step 2 Wind farm: Input information about the wind farm.</t>
  </si>
  <si>
    <t>Plant capacity factor (gross) is the key input.  See table in sheet Plant Capacity Factor for checking plant capacity factors for various hub height wind speeds</t>
  </si>
  <si>
    <t>Ensure that at least 10% loss is used.</t>
  </si>
  <si>
    <t>Ensure that the computed average annual energy production matches the number provided by developer</t>
  </si>
  <si>
    <t>Step 3 Financial: Input financial parameters of project</t>
  </si>
  <si>
    <t>Enter total installed cost in J.  This is total capital investment from start to finish.  Finish is first day of commercial operations</t>
  </si>
  <si>
    <t>Enter total annual cost of operations and maintenance in K.  This includes, O&amp;M fees to manufacturer, administrative/personnel costs, land lease payments, insurance, funds for unplanned maintenance</t>
  </si>
  <si>
    <t xml:space="preserve">Enter annual escalation in O&amp;M cost in L.  </t>
  </si>
  <si>
    <t>If you would like to enter annual costs that are lower in first few years because of manufacturer warranty, then please contact Pramod Jain</t>
  </si>
  <si>
    <t>Enter debt related items in M to O.  Make sure the numbers are reasonable--More than 70% is rare.  If debt is from local sources, interest rate should match commercial loan rates.  If debt is from international sources, verify interest rate</t>
  </si>
  <si>
    <t>Enter equity terms in P to Q.  Make sure the numbers are reasonable.  Local/international equity owner will expect at least 5% over prevailing local/international loan rates for about 10 years.</t>
  </si>
  <si>
    <t>Enter discount rate for R to V.  Make sure the numbers are reasonable.  NPV for equity investment/cash flow should be equal to expected equity rate of return in Q.  Enter rest of parameters</t>
  </si>
  <si>
    <t>Enter modified IRR parameters.  Finance rate is interest rate for short- to mid-term loans.  Reinvest rate is the interest rate for short- to mid-term deposits.</t>
  </si>
  <si>
    <t>Summary Results</t>
  </si>
  <si>
    <t>All the results in this sheet are computed based on input, except the LCOE (Levelized cost of energy).  Click on the button "Calc LCOE" in order to compute LCOE</t>
  </si>
  <si>
    <t>Uncertainty Analysis</t>
  </si>
  <si>
    <t>Enter the overall uncertainty in annual energy production of the wind project.  Wind Resource Assessment report from developer should contain this number.  Guidelines for uncertainty are in cell D2</t>
  </si>
  <si>
    <t>Results in B10 to E21 are not computed automatically, Click on button "Calc Uncertainty" to compute uncertainty.</t>
  </si>
  <si>
    <t>Detailed Yearly Proforma</t>
  </si>
  <si>
    <t>This worksheet contains detailed calculations.  User should not change anything in this sheet.</t>
  </si>
  <si>
    <t>m/s</t>
  </si>
  <si>
    <t>Turbine Class</t>
  </si>
  <si>
    <t>Average annual wind speed at hub height</t>
  </si>
  <si>
    <t>III</t>
  </si>
  <si>
    <t>II</t>
  </si>
  <si>
    <t>Gross Plant Capacity Factor*</t>
  </si>
  <si>
    <t>* must take out losses to compute net capacity factor.  Typical losses are &gt; 10%</t>
  </si>
  <si>
    <t>This table is a crude estimate and should be used only for approximations.  Turbulence is ignored.  Reasonably accurate capacity factors may be found after a rigorous analysis of wind data, selection of turbine, and turbine manufacturer provided turbine production curve.</t>
  </si>
  <si>
    <t>Financial Model developed by Quantum Leap in Wind program of Asian Development Bank</t>
  </si>
  <si>
    <t>Pramod Jain, +1-904-923-6489</t>
  </si>
  <si>
    <t>Enter tariff.  Items B to I may be zero, depending on country</t>
  </si>
  <si>
    <t>TransAsia</t>
  </si>
  <si>
    <t>San Lorenzo Wind farm</t>
  </si>
  <si>
    <t>Vestas</t>
  </si>
  <si>
    <t>V82</t>
  </si>
</sst>
</file>

<file path=xl/styles.xml><?xml version="1.0" encoding="utf-8"?>
<styleSheet xmlns="http://schemas.openxmlformats.org/spreadsheetml/2006/main">
  <numFmts count="12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\$#,##0"/>
    <numFmt numFmtId="165" formatCode="_(&quot;$&quot;* #,##0_);_(&quot;$&quot;* \(#,##0\);_(&quot;$&quot;* &quot;-&quot;??_);_(@_)"/>
    <numFmt numFmtId="166" formatCode="0.000"/>
    <numFmt numFmtId="167" formatCode="_(\$* #,##0.00_);_(\$* \(#,##0.00\);_(\$* \-??_);_(@_)"/>
    <numFmt numFmtId="168" formatCode="_(&quot;$&quot;* #,##0.0000_);_(&quot;$&quot;* \(#,##0.0000\);_(&quot;$&quot;* &quot;-&quot;??_);_(@_)"/>
    <numFmt numFmtId="169" formatCode="0.0%"/>
    <numFmt numFmtId="170" formatCode="_(* #,##0_);_(* \(#,##0\);_(* &quot;-&quot;??_);_(@_)"/>
    <numFmt numFmtId="171" formatCode="0.000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u/>
      <sz val="10"/>
      <color indexed="9"/>
      <name val="Arial"/>
      <family val="2"/>
    </font>
    <font>
      <b/>
      <u/>
      <sz val="10"/>
      <color indexed="9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Garamond"/>
      <family val="1"/>
    </font>
    <font>
      <b/>
      <u/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8"/>
      <color indexed="9"/>
      <name val="Arial"/>
      <family val="2"/>
    </font>
    <font>
      <sz val="8"/>
      <name val="Arial"/>
      <family val="2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48"/>
        <bgColor indexed="62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theme="4" tint="0.79998168889431442"/>
        <bgColor indexed="65"/>
      </patternFill>
    </fill>
  </fills>
  <borders count="25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5" fillId="0" borderId="0"/>
    <xf numFmtId="0" fontId="10" fillId="0" borderId="0"/>
    <xf numFmtId="167" fontId="5" fillId="0" borderId="0"/>
    <xf numFmtId="0" fontId="18" fillId="5" borderId="19" applyNumberFormat="0" applyAlignment="0" applyProtection="0"/>
    <xf numFmtId="0" fontId="19" fillId="2" borderId="19" applyNumberFormat="0" applyAlignment="0" applyProtection="0"/>
    <xf numFmtId="0" fontId="1" fillId="6" borderId="0" applyNumberFormat="0" applyBorder="0" applyAlignment="0" applyProtection="0"/>
    <xf numFmtId="43" fontId="1" fillId="0" borderId="0" applyFont="0" applyFill="0" applyBorder="0" applyAlignment="0" applyProtection="0"/>
    <xf numFmtId="0" fontId="21" fillId="2" borderId="21" applyNumberFormat="0" applyAlignment="0" applyProtection="0"/>
    <xf numFmtId="0" fontId="23" fillId="0" borderId="22" applyNumberFormat="0" applyFill="0" applyAlignment="0" applyProtection="0"/>
    <xf numFmtId="0" fontId="24" fillId="0" borderId="23" applyNumberFormat="0" applyFill="0" applyAlignment="0" applyProtection="0"/>
    <xf numFmtId="0" fontId="25" fillId="0" borderId="24" applyNumberFormat="0" applyFill="0" applyAlignment="0" applyProtection="0"/>
  </cellStyleXfs>
  <cellXfs count="126">
    <xf numFmtId="0" fontId="0" fillId="0" borderId="0" xfId="0"/>
    <xf numFmtId="10" fontId="0" fillId="0" borderId="0" xfId="0" applyNumberFormat="1"/>
    <xf numFmtId="0" fontId="0" fillId="0" borderId="0" xfId="0" applyProtection="1">
      <protection locked="0"/>
    </xf>
    <xf numFmtId="0" fontId="7" fillId="3" borderId="0" xfId="2" applyFont="1" applyFill="1" applyAlignment="1">
      <alignment horizontal="center"/>
    </xf>
    <xf numFmtId="0" fontId="7" fillId="0" borderId="0" xfId="2" applyFont="1" applyFill="1" applyAlignment="1">
      <alignment horizontal="center"/>
    </xf>
    <xf numFmtId="0" fontId="5" fillId="0" borderId="0" xfId="2" applyFont="1"/>
    <xf numFmtId="0" fontId="8" fillId="0" borderId="0" xfId="2" applyFont="1" applyBorder="1" applyAlignment="1">
      <alignment horizontal="right"/>
    </xf>
    <xf numFmtId="0" fontId="9" fillId="0" borderId="0" xfId="2" applyFont="1" applyBorder="1" applyAlignment="1">
      <alignment horizontal="center"/>
    </xf>
    <xf numFmtId="0" fontId="9" fillId="0" borderId="0" xfId="2" applyFont="1" applyAlignment="1">
      <alignment horizontal="center"/>
    </xf>
    <xf numFmtId="0" fontId="9" fillId="0" borderId="0" xfId="2" applyFont="1" applyFill="1" applyBorder="1" applyAlignment="1">
      <alignment horizontal="center"/>
    </xf>
    <xf numFmtId="0" fontId="6" fillId="3" borderId="0" xfId="2" applyFont="1" applyFill="1" applyAlignment="1">
      <alignment horizontal="left"/>
    </xf>
    <xf numFmtId="0" fontId="7" fillId="3" borderId="0" xfId="2" applyFont="1" applyFill="1" applyBorder="1" applyAlignment="1">
      <alignment horizontal="left"/>
    </xf>
    <xf numFmtId="0" fontId="8" fillId="0" borderId="0" xfId="2" applyFont="1" applyBorder="1" applyAlignment="1">
      <alignment horizontal="left"/>
    </xf>
    <xf numFmtId="0" fontId="8" fillId="0" borderId="1" xfId="2" applyFont="1" applyBorder="1" applyAlignment="1">
      <alignment horizontal="left"/>
    </xf>
    <xf numFmtId="0" fontId="8" fillId="0" borderId="1" xfId="2" applyFont="1" applyBorder="1"/>
    <xf numFmtId="0" fontId="8" fillId="0" borderId="1" xfId="2" applyFont="1" applyFill="1" applyBorder="1" applyAlignment="1">
      <alignment horizontal="left"/>
    </xf>
    <xf numFmtId="0" fontId="8" fillId="0" borderId="2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right"/>
    </xf>
    <xf numFmtId="0" fontId="8" fillId="0" borderId="3" xfId="2" applyFont="1" applyFill="1" applyBorder="1" applyAlignment="1">
      <alignment horizontal="left"/>
    </xf>
    <xf numFmtId="0" fontId="8" fillId="0" borderId="1" xfId="2" applyFont="1" applyFill="1" applyBorder="1"/>
    <xf numFmtId="0" fontId="8" fillId="0" borderId="0" xfId="2" applyFont="1" applyFill="1" applyBorder="1" applyAlignment="1">
      <alignment horizontal="left"/>
    </xf>
    <xf numFmtId="164" fontId="8" fillId="0" borderId="0" xfId="2" applyNumberFormat="1" applyFont="1" applyFill="1" applyBorder="1" applyAlignment="1">
      <alignment horizontal="right"/>
    </xf>
    <xf numFmtId="164" fontId="8" fillId="0" borderId="0" xfId="2" applyNumberFormat="1" applyFont="1" applyFill="1" applyBorder="1" applyAlignment="1">
      <alignment horizontal="right" indent="1"/>
    </xf>
    <xf numFmtId="0" fontId="8" fillId="0" borderId="1" xfId="2" applyFont="1" applyFill="1" applyBorder="1" applyAlignment="1">
      <alignment horizontal="right"/>
    </xf>
    <xf numFmtId="0" fontId="8" fillId="0" borderId="4" xfId="2" applyFont="1" applyFill="1" applyBorder="1" applyAlignment="1">
      <alignment horizontal="left"/>
    </xf>
    <xf numFmtId="0" fontId="2" fillId="0" borderId="4" xfId="0" applyFont="1" applyBorder="1"/>
    <xf numFmtId="44" fontId="0" fillId="0" borderId="0" xfId="0" applyNumberFormat="1"/>
    <xf numFmtId="165" fontId="0" fillId="0" borderId="0" xfId="0" applyNumberFormat="1"/>
    <xf numFmtId="9" fontId="0" fillId="0" borderId="0" xfId="0" applyNumberFormat="1" applyProtection="1">
      <protection locked="0"/>
    </xf>
    <xf numFmtId="165" fontId="0" fillId="0" borderId="0" xfId="1" applyNumberFormat="1" applyFont="1"/>
    <xf numFmtId="0" fontId="11" fillId="0" borderId="5" xfId="3" applyFont="1" applyBorder="1" applyProtection="1"/>
    <xf numFmtId="0" fontId="12" fillId="0" borderId="6" xfId="3" applyFont="1" applyBorder="1" applyProtection="1"/>
    <xf numFmtId="0" fontId="12" fillId="0" borderId="7" xfId="3" applyFont="1" applyBorder="1" applyProtection="1"/>
    <xf numFmtId="0" fontId="13" fillId="0" borderId="8" xfId="3" applyFont="1" applyBorder="1" applyAlignment="1" applyProtection="1">
      <alignment horizontal="right"/>
    </xf>
    <xf numFmtId="0" fontId="11" fillId="0" borderId="0" xfId="2" applyFont="1" applyBorder="1" applyAlignment="1" applyProtection="1">
      <alignment horizontal="center"/>
    </xf>
    <xf numFmtId="0" fontId="11" fillId="0" borderId="0" xfId="2" applyFont="1" applyFill="1" applyBorder="1" applyAlignment="1" applyProtection="1">
      <alignment horizontal="center"/>
    </xf>
    <xf numFmtId="0" fontId="13" fillId="0" borderId="9" xfId="3" applyFont="1" applyBorder="1" applyAlignment="1" applyProtection="1">
      <alignment horizontal="right"/>
    </xf>
    <xf numFmtId="3" fontId="12" fillId="0" borderId="3" xfId="3" applyNumberFormat="1" applyFont="1" applyBorder="1" applyAlignment="1" applyProtection="1">
      <alignment horizontal="center"/>
    </xf>
    <xf numFmtId="3" fontId="12" fillId="0" borderId="10" xfId="3" applyNumberFormat="1" applyFont="1" applyBorder="1" applyAlignment="1" applyProtection="1">
      <alignment horizontal="center"/>
    </xf>
    <xf numFmtId="0" fontId="13" fillId="0" borderId="11" xfId="3" applyFont="1" applyBorder="1" applyAlignment="1" applyProtection="1">
      <alignment horizontal="right"/>
    </xf>
    <xf numFmtId="3" fontId="12" fillId="0" borderId="1" xfId="3" applyNumberFormat="1" applyFont="1" applyBorder="1" applyAlignment="1" applyProtection="1">
      <alignment horizontal="center"/>
    </xf>
    <xf numFmtId="3" fontId="12" fillId="0" borderId="12" xfId="3" applyNumberFormat="1" applyFont="1" applyBorder="1" applyAlignment="1" applyProtection="1">
      <alignment horizontal="center"/>
    </xf>
    <xf numFmtId="0" fontId="14" fillId="0" borderId="13" xfId="3" applyFont="1" applyBorder="1" applyAlignment="1" applyProtection="1">
      <alignment horizontal="right"/>
    </xf>
    <xf numFmtId="166" fontId="12" fillId="0" borderId="14" xfId="3" applyNumberFormat="1" applyFont="1" applyBorder="1" applyProtection="1"/>
    <xf numFmtId="0" fontId="13" fillId="0" borderId="0" xfId="3" applyFont="1" applyFill="1" applyBorder="1" applyAlignment="1" applyProtection="1">
      <alignment horizontal="right"/>
    </xf>
    <xf numFmtId="165" fontId="15" fillId="0" borderId="0" xfId="1" applyNumberFormat="1" applyFont="1"/>
    <xf numFmtId="165" fontId="15" fillId="0" borderId="0" xfId="0" applyNumberFormat="1" applyFont="1"/>
    <xf numFmtId="2" fontId="0" fillId="0" borderId="0" xfId="0" applyNumberFormat="1"/>
    <xf numFmtId="0" fontId="11" fillId="0" borderId="5" xfId="3" applyFont="1" applyFill="1" applyBorder="1" applyAlignment="1" applyProtection="1"/>
    <xf numFmtId="0" fontId="16" fillId="0" borderId="6" xfId="3" applyFont="1" applyFill="1" applyBorder="1" applyAlignment="1" applyProtection="1"/>
    <xf numFmtId="0" fontId="12" fillId="0" borderId="7" xfId="3" applyFont="1" applyBorder="1" applyAlignment="1" applyProtection="1">
      <alignment horizontal="center"/>
    </xf>
    <xf numFmtId="0" fontId="11" fillId="0" borderId="8" xfId="3" applyFont="1" applyFill="1" applyBorder="1" applyAlignment="1" applyProtection="1"/>
    <xf numFmtId="0" fontId="16" fillId="0" borderId="0" xfId="3" applyFont="1" applyFill="1" applyBorder="1" applyAlignment="1" applyProtection="1"/>
    <xf numFmtId="0" fontId="12" fillId="0" borderId="15" xfId="3" applyFont="1" applyBorder="1" applyAlignment="1" applyProtection="1">
      <alignment horizontal="center"/>
    </xf>
    <xf numFmtId="3" fontId="17" fillId="4" borderId="0" xfId="4" applyNumberFormat="1" applyFont="1" applyFill="1" applyBorder="1" applyAlignment="1" applyProtection="1">
      <alignment horizontal="center"/>
    </xf>
    <xf numFmtId="0" fontId="12" fillId="0" borderId="0" xfId="3" applyFont="1" applyBorder="1" applyAlignment="1" applyProtection="1">
      <alignment horizontal="center"/>
    </xf>
    <xf numFmtId="3" fontId="17" fillId="0" borderId="0" xfId="4" applyNumberFormat="1" applyFont="1" applyFill="1" applyBorder="1" applyAlignment="1" applyProtection="1">
      <alignment horizontal="center"/>
    </xf>
    <xf numFmtId="0" fontId="13" fillId="0" borderId="3" xfId="3" applyFont="1" applyBorder="1" applyAlignment="1" applyProtection="1">
      <alignment horizontal="center"/>
    </xf>
    <xf numFmtId="0" fontId="13" fillId="0" borderId="15" xfId="3" applyFont="1" applyBorder="1" applyAlignment="1" applyProtection="1">
      <alignment horizontal="center"/>
    </xf>
    <xf numFmtId="3" fontId="12" fillId="0" borderId="1" xfId="4" applyNumberFormat="1" applyFont="1" applyFill="1" applyBorder="1" applyAlignment="1" applyProtection="1">
      <alignment horizontal="center"/>
    </xf>
    <xf numFmtId="10" fontId="12" fillId="0" borderId="1" xfId="4" applyNumberFormat="1" applyFont="1" applyFill="1" applyBorder="1" applyAlignment="1" applyProtection="1">
      <alignment horizontal="center"/>
    </xf>
    <xf numFmtId="3" fontId="12" fillId="0" borderId="0" xfId="4" applyNumberFormat="1" applyFont="1" applyFill="1" applyBorder="1" applyAlignment="1" applyProtection="1">
      <alignment horizontal="center"/>
    </xf>
    <xf numFmtId="3" fontId="12" fillId="0" borderId="15" xfId="3" applyNumberFormat="1" applyFont="1" applyBorder="1" applyAlignment="1" applyProtection="1">
      <alignment horizontal="center"/>
    </xf>
    <xf numFmtId="0" fontId="12" fillId="0" borderId="13" xfId="3" applyFont="1" applyBorder="1" applyProtection="1"/>
    <xf numFmtId="0" fontId="12" fillId="0" borderId="14" xfId="3" applyFont="1" applyBorder="1" applyProtection="1"/>
    <xf numFmtId="0" fontId="12" fillId="0" borderId="16" xfId="3" applyFont="1" applyBorder="1" applyAlignment="1" applyProtection="1">
      <alignment horizontal="center"/>
    </xf>
    <xf numFmtId="165" fontId="5" fillId="0" borderId="17" xfId="1" applyNumberFormat="1" applyFont="1" applyFill="1" applyBorder="1" applyAlignment="1" applyProtection="1">
      <alignment horizontal="right"/>
    </xf>
    <xf numFmtId="44" fontId="5" fillId="0" borderId="1" xfId="1" applyFont="1" applyFill="1" applyBorder="1" applyAlignment="1">
      <alignment horizontal="right"/>
    </xf>
    <xf numFmtId="0" fontId="8" fillId="0" borderId="18" xfId="2" applyFont="1" applyFill="1" applyBorder="1" applyAlignment="1">
      <alignment horizontal="right"/>
    </xf>
    <xf numFmtId="165" fontId="0" fillId="0" borderId="18" xfId="0" applyNumberFormat="1" applyBorder="1"/>
    <xf numFmtId="0" fontId="8" fillId="0" borderId="18" xfId="2" applyFont="1" applyFill="1" applyBorder="1" applyAlignment="1">
      <alignment horizontal="left"/>
    </xf>
    <xf numFmtId="0" fontId="8" fillId="0" borderId="20" xfId="2" applyFont="1" applyFill="1" applyBorder="1" applyAlignment="1">
      <alignment horizontal="left"/>
    </xf>
    <xf numFmtId="8" fontId="0" fillId="0" borderId="4" xfId="0" applyNumberFormat="1" applyBorder="1"/>
    <xf numFmtId="10" fontId="0" fillId="0" borderId="4" xfId="0" applyNumberFormat="1" applyBorder="1"/>
    <xf numFmtId="0" fontId="0" fillId="0" borderId="4" xfId="0" applyBorder="1"/>
    <xf numFmtId="9" fontId="0" fillId="0" borderId="4" xfId="0" applyNumberFormat="1" applyBorder="1"/>
    <xf numFmtId="166" fontId="0" fillId="0" borderId="4" xfId="0" applyNumberFormat="1" applyBorder="1"/>
    <xf numFmtId="0" fontId="8" fillId="0" borderId="2" xfId="2" applyFont="1" applyFill="1" applyBorder="1" applyAlignment="1">
      <alignment horizontal="left"/>
    </xf>
    <xf numFmtId="0" fontId="8" fillId="0" borderId="18" xfId="2" applyFont="1" applyBorder="1" applyAlignment="1">
      <alignment horizontal="right"/>
    </xf>
    <xf numFmtId="44" fontId="0" fillId="0" borderId="18" xfId="0" applyNumberFormat="1" applyBorder="1"/>
    <xf numFmtId="0" fontId="1" fillId="6" borderId="0" xfId="7"/>
    <xf numFmtId="0" fontId="0" fillId="6" borderId="0" xfId="7" applyFont="1"/>
    <xf numFmtId="168" fontId="18" fillId="5" borderId="19" xfId="5" applyNumberFormat="1" applyProtection="1">
      <protection locked="0"/>
    </xf>
    <xf numFmtId="9" fontId="18" fillId="5" borderId="19" xfId="5" applyNumberFormat="1" applyProtection="1">
      <protection locked="0"/>
    </xf>
    <xf numFmtId="0" fontId="18" fillId="5" borderId="19" xfId="5" applyProtection="1">
      <protection locked="0"/>
    </xf>
    <xf numFmtId="0" fontId="18" fillId="5" borderId="19" xfId="5" applyNumberFormat="1" applyProtection="1">
      <protection locked="0"/>
    </xf>
    <xf numFmtId="165" fontId="18" fillId="5" borderId="19" xfId="5" applyNumberFormat="1" applyProtection="1">
      <protection locked="0"/>
    </xf>
    <xf numFmtId="169" fontId="18" fillId="5" borderId="19" xfId="5" applyNumberFormat="1" applyProtection="1">
      <protection locked="0"/>
    </xf>
    <xf numFmtId="169" fontId="18" fillId="5" borderId="19" xfId="5" applyNumberFormat="1" applyProtection="1"/>
    <xf numFmtId="168" fontId="21" fillId="2" borderId="21" xfId="9" applyNumberFormat="1"/>
    <xf numFmtId="165" fontId="21" fillId="2" borderId="21" xfId="9" applyNumberFormat="1"/>
    <xf numFmtId="10" fontId="21" fillId="2" borderId="21" xfId="9" applyNumberFormat="1"/>
    <xf numFmtId="0" fontId="21" fillId="2" borderId="21" xfId="9"/>
    <xf numFmtId="6" fontId="21" fillId="2" borderId="21" xfId="9" applyNumberFormat="1"/>
    <xf numFmtId="166" fontId="21" fillId="2" borderId="21" xfId="9" applyNumberFormat="1"/>
    <xf numFmtId="0" fontId="2" fillId="0" borderId="0" xfId="0" applyFont="1" applyAlignment="1">
      <alignment horizontal="center"/>
    </xf>
    <xf numFmtId="0" fontId="7" fillId="3" borderId="0" xfId="2" applyFont="1" applyFill="1" applyAlignment="1">
      <alignment horizontal="left"/>
    </xf>
    <xf numFmtId="0" fontId="2" fillId="0" borderId="0" xfId="0" applyFont="1" applyAlignment="1" applyProtection="1">
      <alignment horizontal="center"/>
      <protection locked="0"/>
    </xf>
    <xf numFmtId="0" fontId="18" fillId="5" borderId="19" xfId="5" applyAlignment="1" applyProtection="1">
      <alignment horizontal="right"/>
      <protection locked="0"/>
    </xf>
    <xf numFmtId="10" fontId="18" fillId="5" borderId="19" xfId="5" applyNumberFormat="1" applyProtection="1">
      <protection locked="0"/>
    </xf>
    <xf numFmtId="0" fontId="19" fillId="2" borderId="19" xfId="6" applyProtection="1"/>
    <xf numFmtId="10" fontId="19" fillId="2" borderId="19" xfId="6" applyNumberFormat="1" applyProtection="1"/>
    <xf numFmtId="170" fontId="19" fillId="2" borderId="19" xfId="6" applyNumberFormat="1" applyProtection="1"/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1" fillId="6" borderId="0" xfId="7" applyProtection="1"/>
    <xf numFmtId="0" fontId="0" fillId="6" borderId="0" xfId="7" applyFont="1" applyProtection="1"/>
    <xf numFmtId="0" fontId="2" fillId="0" borderId="0" xfId="0" applyFont="1" applyProtection="1"/>
    <xf numFmtId="168" fontId="18" fillId="5" borderId="19" xfId="1" applyNumberFormat="1" applyFont="1" applyFill="1" applyBorder="1" applyProtection="1">
      <protection locked="0"/>
    </xf>
    <xf numFmtId="0" fontId="22" fillId="0" borderId="0" xfId="0" applyFont="1"/>
    <xf numFmtId="0" fontId="22" fillId="0" borderId="0" xfId="0" applyFont="1" applyProtection="1">
      <protection locked="0"/>
    </xf>
    <xf numFmtId="170" fontId="21" fillId="2" borderId="21" xfId="8" applyNumberFormat="1" applyFont="1" applyFill="1" applyBorder="1"/>
    <xf numFmtId="171" fontId="0" fillId="0" borderId="0" xfId="0" applyNumberFormat="1"/>
    <xf numFmtId="170" fontId="21" fillId="2" borderId="21" xfId="9" applyNumberFormat="1"/>
    <xf numFmtId="43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69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3" fillId="0" borderId="22" xfId="10"/>
    <xf numFmtId="0" fontId="24" fillId="0" borderId="23" xfId="11"/>
    <xf numFmtId="0" fontId="25" fillId="0" borderId="24" xfId="12"/>
    <xf numFmtId="0" fontId="0" fillId="0" borderId="0" xfId="0" applyAlignment="1">
      <alignment horizontal="right" wrapText="1"/>
    </xf>
    <xf numFmtId="0" fontId="0" fillId="0" borderId="0" xfId="0" applyAlignment="1">
      <alignment horizontal="left" wrapText="1"/>
    </xf>
    <xf numFmtId="165" fontId="7" fillId="3" borderId="0" xfId="2" applyNumberFormat="1" applyFont="1" applyFill="1" applyBorder="1" applyAlignment="1">
      <alignment horizontal="left"/>
    </xf>
  </cellXfs>
  <cellStyles count="13">
    <cellStyle name="20% - Accent1" xfId="7" builtinId="30"/>
    <cellStyle name="Calculation" xfId="6" builtinId="22"/>
    <cellStyle name="Comma" xfId="8" builtinId="3"/>
    <cellStyle name="Currency" xfId="1" builtinId="4"/>
    <cellStyle name="Excel Built-in Currency" xfId="4"/>
    <cellStyle name="Excel Built-in Normal" xfId="2"/>
    <cellStyle name="Heading 1" xfId="10" builtinId="16"/>
    <cellStyle name="Heading 2" xfId="11" builtinId="17"/>
    <cellStyle name="Heading 3" xfId="12" builtinId="18"/>
    <cellStyle name="Input" xfId="5" builtinId="20"/>
    <cellStyle name="Normal" xfId="0" builtinId="0"/>
    <cellStyle name="Normal_depreciation 5yr MACRS GDS" xfId="3"/>
    <cellStyle name="Output" xfId="9" builtinId="21"/>
  </cellStyles>
  <dxfs count="4">
    <dxf>
      <alignment horizontal="center" vertical="bottom" textRotation="0" wrapText="0" indent="0" relativeIndent="0" justifyLastLine="0" shrinkToFit="0" mergeCell="0" readingOrder="0"/>
    </dxf>
    <dxf>
      <numFmt numFmtId="169" formatCode="0.0%"/>
    </dxf>
    <dxf>
      <alignment horizontal="general" vertical="bottom" textRotation="0" wrapText="1" indent="0" relativeIndent="0" justifyLastLine="0" shrinkToFit="0" mergeCell="0" readingOrder="0"/>
    </dxf>
    <dxf>
      <alignment horizontal="center" vertical="bottom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1:C10" totalsRowShown="0" headerRowDxfId="3">
  <tableColumns count="3">
    <tableColumn id="1" name="Average annual wind speed at hub height" dataDxfId="2"/>
    <tableColumn id="2" name="Gross Plant Capacity Factor*" dataDxfId="1"/>
    <tableColumn id="3" name="Turbine Clas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B3:C38"/>
  <sheetViews>
    <sheetView workbookViewId="0">
      <selection activeCell="C21" sqref="C21"/>
    </sheetView>
  </sheetViews>
  <sheetFormatPr defaultRowHeight="15"/>
  <cols>
    <col min="3" max="3" width="111.5703125" style="115" customWidth="1"/>
  </cols>
  <sheetData>
    <row r="3" spans="2:3" ht="20.25" thickBot="1">
      <c r="C3" s="120" t="s">
        <v>190</v>
      </c>
    </row>
    <row r="4" spans="2:3" ht="15.75" thickTop="1"/>
    <row r="6" spans="2:3" ht="18" thickBot="1">
      <c r="C6" s="121" t="s">
        <v>56</v>
      </c>
    </row>
    <row r="7" spans="2:3" ht="15.75" thickTop="1">
      <c r="C7" s="123" t="s">
        <v>191</v>
      </c>
    </row>
    <row r="9" spans="2:3" ht="15.75" thickBot="1">
      <c r="C9" s="122" t="s">
        <v>160</v>
      </c>
    </row>
    <row r="12" spans="2:3">
      <c r="B12" t="s">
        <v>161</v>
      </c>
    </row>
    <row r="14" spans="2:3">
      <c r="B14" t="s">
        <v>162</v>
      </c>
    </row>
    <row r="15" spans="2:3" ht="30">
      <c r="C15" s="115" t="s">
        <v>163</v>
      </c>
    </row>
    <row r="16" spans="2:3">
      <c r="C16" s="115" t="s">
        <v>164</v>
      </c>
    </row>
    <row r="17" spans="2:3">
      <c r="C17" s="115" t="s">
        <v>165</v>
      </c>
    </row>
    <row r="19" spans="2:3">
      <c r="B19" t="s">
        <v>166</v>
      </c>
    </row>
    <row r="20" spans="2:3">
      <c r="C20" s="115" t="s">
        <v>192</v>
      </c>
    </row>
    <row r="21" spans="2:3" ht="13.5" customHeight="1">
      <c r="C21" s="115" t="s">
        <v>167</v>
      </c>
    </row>
    <row r="22" spans="2:3" ht="30">
      <c r="C22" s="115" t="s">
        <v>168</v>
      </c>
    </row>
    <row r="23" spans="2:3">
      <c r="C23" s="115" t="s">
        <v>169</v>
      </c>
    </row>
    <row r="24" spans="2:3" ht="30">
      <c r="C24" s="115" t="s">
        <v>170</v>
      </c>
    </row>
    <row r="25" spans="2:3" ht="30">
      <c r="C25" s="115" t="s">
        <v>171</v>
      </c>
    </row>
    <row r="26" spans="2:3" ht="30">
      <c r="C26" s="115" t="s">
        <v>172</v>
      </c>
    </row>
    <row r="27" spans="2:3" ht="30">
      <c r="C27" s="115" t="s">
        <v>173</v>
      </c>
    </row>
    <row r="28" spans="2:3" ht="30">
      <c r="C28" s="115" t="s">
        <v>174</v>
      </c>
    </row>
    <row r="30" spans="2:3">
      <c r="B30" t="s">
        <v>175</v>
      </c>
    </row>
    <row r="31" spans="2:3" ht="30">
      <c r="C31" s="115" t="s">
        <v>176</v>
      </c>
    </row>
    <row r="33" spans="2:3">
      <c r="B33" t="s">
        <v>177</v>
      </c>
    </row>
    <row r="34" spans="2:3" ht="30">
      <c r="C34" s="115" t="s">
        <v>178</v>
      </c>
    </row>
    <row r="35" spans="2:3">
      <c r="C35" s="115" t="s">
        <v>179</v>
      </c>
    </row>
    <row r="37" spans="2:3">
      <c r="B37" t="s">
        <v>180</v>
      </c>
    </row>
    <row r="38" spans="2:3">
      <c r="C38" s="115" t="s">
        <v>181</v>
      </c>
    </row>
  </sheetData>
  <pageMargins left="0.7" right="0.7" top="0.75" bottom="0.75" header="0.3" footer="0.3"/>
  <pageSetup scale="74" orientation="portrait" horizontalDpi="1200" verticalDpi="1200" r:id="rId1"/>
  <headerFooter>
    <oddHeader>&amp;L&amp;F&amp;R&amp;D</oddHeader>
    <oddFooter>&amp;LAsian Development Bank, QLW Project&amp;C&amp;A&amp;R&amp;N; PJ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C7"/>
  <sheetViews>
    <sheetView topLeftCell="B1" workbookViewId="0">
      <selection activeCell="C9" sqref="C9"/>
    </sheetView>
  </sheetViews>
  <sheetFormatPr defaultRowHeight="15"/>
  <cols>
    <col min="1" max="1" width="4" customWidth="1"/>
    <col min="2" max="2" width="26.5703125" customWidth="1"/>
    <col min="3" max="3" width="55.42578125" customWidth="1"/>
  </cols>
  <sheetData>
    <row r="1" spans="1:3">
      <c r="B1" s="95" t="s">
        <v>130</v>
      </c>
      <c r="C1" s="95" t="s">
        <v>131</v>
      </c>
    </row>
    <row r="2" spans="1:3">
      <c r="A2" s="80" t="s">
        <v>0</v>
      </c>
      <c r="B2" s="80" t="s">
        <v>1</v>
      </c>
      <c r="C2" s="84" t="s">
        <v>194</v>
      </c>
    </row>
    <row r="3" spans="1:3">
      <c r="A3" s="80" t="s">
        <v>2</v>
      </c>
      <c r="B3" s="80" t="s">
        <v>3</v>
      </c>
      <c r="C3" s="84" t="s">
        <v>193</v>
      </c>
    </row>
    <row r="4" spans="1:3">
      <c r="A4" s="80" t="s">
        <v>4</v>
      </c>
      <c r="B4" s="80" t="s">
        <v>5</v>
      </c>
      <c r="C4" s="84"/>
    </row>
    <row r="5" spans="1:3">
      <c r="A5" s="80" t="s">
        <v>6</v>
      </c>
      <c r="B5" s="80" t="s">
        <v>7</v>
      </c>
      <c r="C5" s="84"/>
    </row>
    <row r="6" spans="1:3">
      <c r="A6" s="80" t="s">
        <v>9</v>
      </c>
      <c r="B6" s="80" t="s">
        <v>8</v>
      </c>
      <c r="C6" s="84"/>
    </row>
    <row r="7" spans="1:3">
      <c r="A7" s="80" t="s">
        <v>10</v>
      </c>
      <c r="B7" s="80" t="s">
        <v>11</v>
      </c>
      <c r="C7" s="84"/>
    </row>
  </sheetData>
  <sheetProtection sheet="1" objects="1" scenarios="1"/>
  <pageMargins left="0.7" right="0.7" top="0.75" bottom="0.75" header="0.3" footer="0.3"/>
  <pageSetup orientation="landscape" horizontalDpi="1200" verticalDpi="1200" r:id="rId1"/>
  <headerFooter>
    <oddHeader>&amp;L&amp;F&amp;R&amp;D</oddHeader>
    <oddFooter>&amp;LAsian Development Bank, QLW Project&amp;C&amp;A&amp;RPage &amp;P, PJ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18"/>
  <sheetViews>
    <sheetView zoomScale="140" zoomScaleNormal="140" workbookViewId="0">
      <selection activeCell="C10" sqref="C10"/>
    </sheetView>
  </sheetViews>
  <sheetFormatPr defaultRowHeight="15"/>
  <cols>
    <col min="1" max="1" width="4.42578125" customWidth="1"/>
    <col min="2" max="2" width="39.140625" bestFit="1" customWidth="1"/>
    <col min="3" max="3" width="16.85546875" customWidth="1"/>
  </cols>
  <sheetData>
    <row r="1" spans="1:6">
      <c r="A1" s="103"/>
      <c r="B1" s="104" t="s">
        <v>130</v>
      </c>
      <c r="C1" s="97" t="s">
        <v>131</v>
      </c>
      <c r="D1" s="2"/>
      <c r="E1" s="2"/>
      <c r="F1" s="2"/>
    </row>
    <row r="2" spans="1:6">
      <c r="A2" s="105" t="s">
        <v>0</v>
      </c>
      <c r="B2" s="105" t="s">
        <v>13</v>
      </c>
      <c r="C2" s="84">
        <v>15</v>
      </c>
      <c r="D2" s="2"/>
      <c r="E2" s="2"/>
      <c r="F2" s="2"/>
    </row>
    <row r="3" spans="1:6">
      <c r="A3" s="105" t="s">
        <v>2</v>
      </c>
      <c r="B3" s="105" t="s">
        <v>14</v>
      </c>
      <c r="C3" s="84">
        <v>2</v>
      </c>
      <c r="D3" s="2"/>
      <c r="E3" s="2"/>
      <c r="F3" s="2"/>
    </row>
    <row r="4" spans="1:6">
      <c r="A4" s="106" t="s">
        <v>4</v>
      </c>
      <c r="B4" s="105" t="s">
        <v>98</v>
      </c>
      <c r="C4" s="100">
        <f>C3*C2</f>
        <v>30</v>
      </c>
      <c r="D4" s="2"/>
      <c r="E4" s="2"/>
      <c r="F4" s="2"/>
    </row>
    <row r="5" spans="1:6">
      <c r="A5" s="103"/>
      <c r="B5" s="103"/>
      <c r="C5" s="2"/>
      <c r="D5" s="2"/>
      <c r="E5" s="2"/>
      <c r="F5" s="2"/>
    </row>
    <row r="6" spans="1:6">
      <c r="A6" s="106" t="s">
        <v>6</v>
      </c>
      <c r="B6" s="105" t="s">
        <v>121</v>
      </c>
      <c r="C6" s="84">
        <v>70</v>
      </c>
      <c r="D6" s="2"/>
      <c r="E6" s="2"/>
      <c r="F6" s="2"/>
    </row>
    <row r="7" spans="1:6">
      <c r="A7" s="106" t="s">
        <v>9</v>
      </c>
      <c r="B7" s="105" t="s">
        <v>122</v>
      </c>
      <c r="C7" s="84">
        <v>82</v>
      </c>
      <c r="D7" s="2"/>
      <c r="E7" s="2"/>
      <c r="F7" s="2"/>
    </row>
    <row r="8" spans="1:6">
      <c r="A8" s="106" t="s">
        <v>10</v>
      </c>
      <c r="B8" s="105" t="s">
        <v>15</v>
      </c>
      <c r="C8" s="98" t="s">
        <v>195</v>
      </c>
      <c r="D8" s="2"/>
      <c r="E8" s="2"/>
      <c r="F8" s="2"/>
    </row>
    <row r="9" spans="1:6">
      <c r="A9" s="106" t="s">
        <v>12</v>
      </c>
      <c r="B9" s="105" t="s">
        <v>16</v>
      </c>
      <c r="C9" s="98" t="s">
        <v>196</v>
      </c>
      <c r="D9" s="2"/>
      <c r="E9" s="2"/>
      <c r="F9" s="2"/>
    </row>
    <row r="10" spans="1:6">
      <c r="A10" s="106" t="s">
        <v>18</v>
      </c>
      <c r="B10" s="105" t="s">
        <v>17</v>
      </c>
      <c r="C10" s="99">
        <v>0.29699999999999999</v>
      </c>
      <c r="D10" s="2"/>
      <c r="E10" s="2"/>
      <c r="F10" s="2"/>
    </row>
    <row r="11" spans="1:6">
      <c r="A11" s="105" t="s">
        <v>20</v>
      </c>
      <c r="B11" s="105" t="s">
        <v>19</v>
      </c>
      <c r="C11" s="83">
        <v>7.4999999999999997E-2</v>
      </c>
      <c r="D11" s="2"/>
      <c r="E11" s="2"/>
      <c r="F11" s="2"/>
    </row>
    <row r="12" spans="1:6">
      <c r="A12" s="105" t="s">
        <v>22</v>
      </c>
      <c r="B12" s="105" t="s">
        <v>21</v>
      </c>
      <c r="C12" s="101">
        <f>C10*(1-C11)</f>
        <v>0.274725</v>
      </c>
      <c r="D12" s="2"/>
      <c r="E12" s="2"/>
      <c r="F12" s="2"/>
    </row>
    <row r="13" spans="1:6">
      <c r="A13" s="106" t="s">
        <v>41</v>
      </c>
      <c r="B13" s="105" t="s">
        <v>23</v>
      </c>
      <c r="C13" s="102">
        <v>63534.002399999998</v>
      </c>
      <c r="D13" s="2"/>
      <c r="E13" s="2"/>
      <c r="F13" s="2"/>
    </row>
    <row r="14" spans="1:6">
      <c r="A14" s="2"/>
      <c r="B14" s="2"/>
      <c r="C14" s="2"/>
      <c r="D14" s="2"/>
      <c r="E14" s="2"/>
      <c r="F14" s="2"/>
    </row>
    <row r="15" spans="1:6">
      <c r="A15" s="2"/>
      <c r="B15" s="2"/>
      <c r="C15" s="2"/>
      <c r="D15" s="2"/>
      <c r="E15" s="2"/>
      <c r="F15" s="2"/>
    </row>
    <row r="16" spans="1:6">
      <c r="A16" s="2"/>
      <c r="B16" s="2"/>
      <c r="C16" s="2"/>
      <c r="D16" s="2"/>
      <c r="E16" s="2"/>
      <c r="F16" s="2"/>
    </row>
    <row r="17" spans="4:6">
      <c r="D17" s="2"/>
      <c r="E17" s="2"/>
      <c r="F17" s="2"/>
    </row>
    <row r="18" spans="4:6">
      <c r="D18" s="2"/>
      <c r="E18" s="2"/>
      <c r="F18" s="2"/>
    </row>
  </sheetData>
  <sheetProtection sheet="1" objects="1" scenarios="1"/>
  <pageMargins left="0.7" right="0.7" top="0.75" bottom="0.75" header="0.3" footer="0.3"/>
  <pageSetup orientation="portrait" r:id="rId1"/>
  <headerFooter>
    <oddHeader>&amp;C&amp;F&amp;R&amp;D</oddHeader>
    <oddFooter>&amp;LAsian Development Bank, QLW project&amp;C&amp;A&amp;R&amp;N, PJ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2:D39"/>
  <sheetViews>
    <sheetView topLeftCell="A17" zoomScale="142" zoomScaleNormal="142" workbookViewId="0">
      <selection activeCell="C30" sqref="C30"/>
    </sheetView>
  </sheetViews>
  <sheetFormatPr defaultRowHeight="15"/>
  <cols>
    <col min="1" max="1" width="4.42578125" style="2" customWidth="1"/>
    <col min="2" max="2" width="48" style="2" bestFit="1" customWidth="1"/>
    <col min="3" max="3" width="10.5703125" style="2" bestFit="1" customWidth="1"/>
    <col min="4" max="16384" width="9.140625" style="2"/>
  </cols>
  <sheetData>
    <row r="2" spans="1:3">
      <c r="A2" s="107"/>
      <c r="B2" s="107" t="s">
        <v>37</v>
      </c>
    </row>
    <row r="3" spans="1:3">
      <c r="A3" s="105" t="s">
        <v>0</v>
      </c>
      <c r="B3" s="105" t="s">
        <v>24</v>
      </c>
      <c r="C3" s="82">
        <f>8.53/41.3</f>
        <v>0.20653753026634383</v>
      </c>
    </row>
    <row r="4" spans="1:3">
      <c r="A4" s="105" t="s">
        <v>2</v>
      </c>
      <c r="B4" s="105" t="s">
        <v>51</v>
      </c>
      <c r="C4" s="83">
        <v>0</v>
      </c>
    </row>
    <row r="5" spans="1:3">
      <c r="A5" s="105" t="s">
        <v>4</v>
      </c>
      <c r="B5" s="105" t="s">
        <v>52</v>
      </c>
      <c r="C5" s="84">
        <v>0</v>
      </c>
    </row>
    <row r="6" spans="1:3">
      <c r="A6" s="105" t="s">
        <v>6</v>
      </c>
      <c r="B6" s="106" t="s">
        <v>137</v>
      </c>
      <c r="C6" s="83">
        <v>0</v>
      </c>
    </row>
    <row r="7" spans="1:3">
      <c r="A7" s="105" t="s">
        <v>9</v>
      </c>
      <c r="B7" s="105" t="s">
        <v>106</v>
      </c>
      <c r="C7" s="84">
        <v>0</v>
      </c>
    </row>
    <row r="8" spans="1:3">
      <c r="A8" s="105" t="s">
        <v>10</v>
      </c>
      <c r="B8" s="105" t="s">
        <v>107</v>
      </c>
      <c r="C8" s="84">
        <v>0</v>
      </c>
    </row>
    <row r="9" spans="1:3">
      <c r="A9" s="105" t="s">
        <v>12</v>
      </c>
      <c r="B9" s="105" t="s">
        <v>108</v>
      </c>
      <c r="C9" s="83">
        <v>0</v>
      </c>
    </row>
    <row r="10" spans="1:3">
      <c r="A10" s="105" t="s">
        <v>18</v>
      </c>
      <c r="B10" s="105" t="s">
        <v>109</v>
      </c>
      <c r="C10" s="83">
        <v>0</v>
      </c>
    </row>
    <row r="11" spans="1:3">
      <c r="A11" s="105" t="s">
        <v>20</v>
      </c>
      <c r="B11" s="105" t="s">
        <v>110</v>
      </c>
      <c r="C11" s="85">
        <v>0</v>
      </c>
    </row>
    <row r="12" spans="1:3">
      <c r="A12" s="103"/>
      <c r="B12" s="103"/>
      <c r="C12" s="28"/>
    </row>
    <row r="13" spans="1:3">
      <c r="A13" s="103"/>
      <c r="B13" s="103"/>
    </row>
    <row r="14" spans="1:3">
      <c r="A14" s="107"/>
      <c r="B14" s="107" t="s">
        <v>38</v>
      </c>
    </row>
    <row r="15" spans="1:3">
      <c r="A15" s="106" t="s">
        <v>22</v>
      </c>
      <c r="B15" s="105" t="s">
        <v>25</v>
      </c>
      <c r="C15" s="86">
        <v>2500</v>
      </c>
    </row>
    <row r="16" spans="1:3">
      <c r="A16" s="103"/>
      <c r="B16" s="103"/>
    </row>
    <row r="17" spans="1:4">
      <c r="A17" s="107"/>
      <c r="B17" s="107" t="s">
        <v>39</v>
      </c>
    </row>
    <row r="18" spans="1:4">
      <c r="A18" s="106" t="s">
        <v>41</v>
      </c>
      <c r="B18" s="105" t="s">
        <v>26</v>
      </c>
      <c r="C18" s="108">
        <f>3%*C15*'Step 2 Wind farm'!C4*1000/('Step 2 Wind farm'!C13*1000)</f>
        <v>3.5414107643248365E-2</v>
      </c>
      <c r="D18" s="110" t="str">
        <f>IF(C18/C3&lt;0.8,"","O&amp;M Cost is high")</f>
        <v/>
      </c>
    </row>
    <row r="19" spans="1:4">
      <c r="A19" s="106" t="s">
        <v>42</v>
      </c>
      <c r="B19" s="105" t="s">
        <v>53</v>
      </c>
      <c r="C19" s="83">
        <v>0</v>
      </c>
    </row>
    <row r="20" spans="1:4">
      <c r="A20" s="103"/>
      <c r="B20" s="103"/>
    </row>
    <row r="21" spans="1:4">
      <c r="A21" s="107"/>
      <c r="B21" s="107" t="s">
        <v>40</v>
      </c>
    </row>
    <row r="22" spans="1:4">
      <c r="A22" s="106" t="s">
        <v>43</v>
      </c>
      <c r="B22" s="105" t="s">
        <v>27</v>
      </c>
      <c r="C22" s="87">
        <v>0.65</v>
      </c>
      <c r="D22" s="110" t="str">
        <f>IF(C22&gt;100%,"Invalid","")</f>
        <v/>
      </c>
    </row>
    <row r="23" spans="1:4">
      <c r="A23" s="106" t="s">
        <v>44</v>
      </c>
      <c r="B23" s="105" t="s">
        <v>28</v>
      </c>
      <c r="C23" s="99">
        <v>0.1</v>
      </c>
    </row>
    <row r="24" spans="1:4">
      <c r="A24" s="106" t="s">
        <v>45</v>
      </c>
      <c r="B24" s="105" t="s">
        <v>29</v>
      </c>
      <c r="C24" s="84">
        <v>10</v>
      </c>
      <c r="D24" s="110" t="str">
        <f>IF(C24&gt;C35,"Must be &lt; life of project","")</f>
        <v/>
      </c>
    </row>
    <row r="25" spans="1:4">
      <c r="A25" s="103"/>
      <c r="B25" s="103"/>
    </row>
    <row r="26" spans="1:4">
      <c r="A26" s="106" t="s">
        <v>46</v>
      </c>
      <c r="B26" s="105" t="s">
        <v>30</v>
      </c>
      <c r="C26" s="88">
        <f>100%-C22</f>
        <v>0.35</v>
      </c>
    </row>
    <row r="27" spans="1:4">
      <c r="A27" s="106" t="s">
        <v>48</v>
      </c>
      <c r="B27" s="105" t="s">
        <v>31</v>
      </c>
      <c r="C27" s="99">
        <v>0.16439999999999999</v>
      </c>
    </row>
    <row r="28" spans="1:4">
      <c r="A28" s="103"/>
      <c r="B28" s="103"/>
    </row>
    <row r="29" spans="1:4">
      <c r="A29" s="106" t="s">
        <v>54</v>
      </c>
      <c r="B29" s="105" t="s">
        <v>55</v>
      </c>
      <c r="C29" s="99">
        <v>0.1</v>
      </c>
    </row>
    <row r="30" spans="1:4">
      <c r="A30" s="106" t="s">
        <v>123</v>
      </c>
      <c r="B30" s="105" t="s">
        <v>32</v>
      </c>
      <c r="C30" s="83">
        <v>0.04</v>
      </c>
    </row>
    <row r="31" spans="1:4">
      <c r="A31" s="106" t="s">
        <v>124</v>
      </c>
      <c r="B31" s="105" t="s">
        <v>34</v>
      </c>
      <c r="C31" s="83">
        <v>0.1</v>
      </c>
    </row>
    <row r="32" spans="1:4">
      <c r="A32" s="106" t="s">
        <v>125</v>
      </c>
      <c r="B32" s="105" t="s">
        <v>35</v>
      </c>
      <c r="C32" s="84" t="s">
        <v>47</v>
      </c>
    </row>
    <row r="33" spans="1:3">
      <c r="A33" s="106" t="s">
        <v>126</v>
      </c>
      <c r="B33" s="105" t="s">
        <v>36</v>
      </c>
      <c r="C33" s="84">
        <v>20</v>
      </c>
    </row>
    <row r="34" spans="1:3">
      <c r="A34" s="103"/>
      <c r="B34" s="103"/>
    </row>
    <row r="35" spans="1:3">
      <c r="A35" s="106" t="s">
        <v>127</v>
      </c>
      <c r="B35" s="105" t="s">
        <v>33</v>
      </c>
      <c r="C35" s="84">
        <v>20</v>
      </c>
    </row>
    <row r="36" spans="1:3">
      <c r="A36" s="103"/>
      <c r="B36" s="103"/>
    </row>
    <row r="37" spans="1:3">
      <c r="A37" s="106" t="s">
        <v>128</v>
      </c>
      <c r="B37" s="105" t="s">
        <v>111</v>
      </c>
      <c r="C37" s="83">
        <f>C23</f>
        <v>0.1</v>
      </c>
    </row>
    <row r="38" spans="1:3">
      <c r="A38" s="106" t="s">
        <v>129</v>
      </c>
      <c r="B38" s="105" t="s">
        <v>112</v>
      </c>
      <c r="C38" s="83">
        <f>C37/2</f>
        <v>0.05</v>
      </c>
    </row>
    <row r="39" spans="1:3">
      <c r="A39" s="103"/>
      <c r="B39" s="103"/>
    </row>
  </sheetData>
  <sheetProtection sheet="1" objects="1" scenarios="1"/>
  <pageMargins left="0.7" right="0.7" top="0.75" bottom="0.75" header="0.3" footer="0.3"/>
  <pageSetup orientation="portrait" r:id="rId1"/>
  <headerFooter>
    <oddHeader>&amp;C&amp;F&amp;R&amp;D</oddHeader>
    <oddFooter>&amp;LAsian Development Bank, QLW Project&amp;C&amp;A&amp;R&amp;N, PJ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C13"/>
  <sheetViews>
    <sheetView zoomScale="142" zoomScaleNormal="142" workbookViewId="0">
      <selection activeCell="B8" sqref="B8"/>
    </sheetView>
  </sheetViews>
  <sheetFormatPr defaultRowHeight="15"/>
  <cols>
    <col min="1" max="1" width="42.42578125" bestFit="1" customWidth="1"/>
    <col min="2" max="2" width="13.7109375" bestFit="1" customWidth="1"/>
  </cols>
  <sheetData>
    <row r="1" spans="1:3">
      <c r="A1" s="95" t="s">
        <v>130</v>
      </c>
      <c r="B1" s="95" t="s">
        <v>132</v>
      </c>
    </row>
    <row r="2" spans="1:3">
      <c r="A2" s="80" t="s">
        <v>118</v>
      </c>
      <c r="B2" s="111">
        <f>'Detailed Yearly Proforma'!C7</f>
        <v>63534.002399999998</v>
      </c>
    </row>
    <row r="3" spans="1:3">
      <c r="A3" s="80" t="s">
        <v>49</v>
      </c>
      <c r="B3" s="90">
        <f>AVERAGE('Detailed Yearly Proforma'!C12:V12)</f>
        <v>13122.155943631957</v>
      </c>
    </row>
    <row r="4" spans="1:3">
      <c r="A4" s="81" t="s">
        <v>138</v>
      </c>
      <c r="B4" s="90">
        <f>'Detailed Yearly Proforma'!B3</f>
        <v>75000</v>
      </c>
    </row>
    <row r="5" spans="1:3">
      <c r="A5" s="80" t="s">
        <v>117</v>
      </c>
      <c r="B5" s="90">
        <f>'Detailed Yearly Proforma'!C18</f>
        <v>2250</v>
      </c>
    </row>
    <row r="6" spans="1:3">
      <c r="A6" s="80" t="s">
        <v>50</v>
      </c>
      <c r="B6" s="90">
        <f>'Detailed Yearly Proforma'!B74</f>
        <v>7933.8380005224381</v>
      </c>
    </row>
    <row r="7" spans="1:3">
      <c r="A7" s="80" t="s">
        <v>116</v>
      </c>
      <c r="B7" s="90">
        <f>'Detailed Yearly Proforma'!B86</f>
        <v>3750</v>
      </c>
    </row>
    <row r="8" spans="1:3">
      <c r="A8" s="81" t="s">
        <v>135</v>
      </c>
      <c r="B8" s="89">
        <v>0.17728952919237365</v>
      </c>
    </row>
    <row r="9" spans="1:3">
      <c r="A9" s="81" t="s">
        <v>133</v>
      </c>
      <c r="B9" s="91">
        <f>'Detailed Yearly Proforma'!B46</f>
        <v>0.152960134338682</v>
      </c>
      <c r="C9" s="109" t="str">
        <f>IF(ISNUMBER(B9),"","Likely Error in Data in Step 3 Financial")</f>
        <v/>
      </c>
    </row>
    <row r="10" spans="1:3">
      <c r="A10" s="80" t="s">
        <v>119</v>
      </c>
      <c r="B10" s="92">
        <f>'Detailed Yearly Proforma'!B48</f>
        <v>10</v>
      </c>
    </row>
    <row r="11" spans="1:3">
      <c r="A11" s="81" t="s">
        <v>134</v>
      </c>
      <c r="B11" s="93">
        <f>'Detailed Yearly Proforma'!B45</f>
        <v>13766.281988067009</v>
      </c>
    </row>
    <row r="12" spans="1:3">
      <c r="A12" s="80" t="s">
        <v>115</v>
      </c>
      <c r="B12" s="94">
        <f>'Detailed Yearly Proforma'!B54</f>
        <v>1.2896741965993936</v>
      </c>
      <c r="C12" s="109" t="str">
        <f>IF(B12&lt;1.25,"Do not have sufficient income to payoff loan for one or more year(s)","")</f>
        <v/>
      </c>
    </row>
    <row r="13" spans="1:3">
      <c r="A13" s="80" t="s">
        <v>114</v>
      </c>
      <c r="B13" s="94">
        <f>'Detailed Yearly Proforma'!B55</f>
        <v>1.3485533226613255</v>
      </c>
    </row>
  </sheetData>
  <sheetProtection sheet="1" objects="1" scenarios="1"/>
  <pageMargins left="0.7" right="0.7" top="0.75" bottom="0.75" header="0.3" footer="0.3"/>
  <pageSetup orientation="landscape" horizontalDpi="1200" verticalDpi="1200" r:id="rId1"/>
  <headerFooter>
    <oddHeader>&amp;C&amp;F&amp;R&amp;D</oddHeader>
    <oddFooter>&amp;LAsian Development Bank, QLW project&amp;C&amp;A&amp;R&amp;N, pj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>
    <pageSetUpPr fitToPage="1"/>
  </sheetPr>
  <dimension ref="A2:G27"/>
  <sheetViews>
    <sheetView tabSelected="1" topLeftCell="A3" zoomScale="136" zoomScaleNormal="136" workbookViewId="0">
      <selection activeCell="E10" sqref="E10:E21"/>
    </sheetView>
  </sheetViews>
  <sheetFormatPr defaultRowHeight="15"/>
  <cols>
    <col min="1" max="1" width="43.5703125" customWidth="1"/>
    <col min="2" max="2" width="13.7109375" bestFit="1" customWidth="1"/>
    <col min="3" max="3" width="10.7109375" customWidth="1"/>
    <col min="4" max="4" width="10.140625" customWidth="1"/>
    <col min="5" max="5" width="10.42578125" customWidth="1"/>
    <col min="7" max="7" width="10.5703125" bestFit="1" customWidth="1"/>
  </cols>
  <sheetData>
    <row r="2" spans="1:5">
      <c r="A2" s="80" t="s">
        <v>156</v>
      </c>
      <c r="B2" s="83">
        <v>0.12</v>
      </c>
      <c r="D2" t="s">
        <v>157</v>
      </c>
    </row>
    <row r="3" spans="1:5">
      <c r="E3" t="s">
        <v>158</v>
      </c>
    </row>
    <row r="4" spans="1:5">
      <c r="E4" t="s">
        <v>159</v>
      </c>
    </row>
    <row r="9" spans="1:5">
      <c r="A9" s="95" t="s">
        <v>130</v>
      </c>
      <c r="B9" s="95" t="s">
        <v>152</v>
      </c>
      <c r="C9" s="95" t="s">
        <v>153</v>
      </c>
      <c r="D9" s="95" t="s">
        <v>154</v>
      </c>
      <c r="E9" s="95" t="s">
        <v>155</v>
      </c>
    </row>
    <row r="10" spans="1:5">
      <c r="A10" s="80" t="s">
        <v>118</v>
      </c>
      <c r="B10" s="113">
        <v>72197.73</v>
      </c>
      <c r="C10" s="113">
        <v>63534.002399999998</v>
      </c>
      <c r="D10" s="113">
        <v>61108.158671999998</v>
      </c>
      <c r="E10" s="113">
        <v>57945.898097999998</v>
      </c>
    </row>
    <row r="11" spans="1:5">
      <c r="A11" s="80" t="s">
        <v>49</v>
      </c>
      <c r="B11" s="90">
        <v>14911.540845036327</v>
      </c>
      <c r="C11" s="90">
        <v>13122.155943631957</v>
      </c>
      <c r="D11" s="90">
        <v>12621.128171238735</v>
      </c>
      <c r="E11" s="90">
        <v>11968.002682226153</v>
      </c>
    </row>
    <row r="12" spans="1:5" hidden="1">
      <c r="A12" s="81" t="s">
        <v>138</v>
      </c>
      <c r="B12" s="90">
        <v>75000</v>
      </c>
      <c r="C12" s="90">
        <v>75000</v>
      </c>
      <c r="D12" s="90">
        <v>75000</v>
      </c>
      <c r="E12" s="90">
        <v>75000</v>
      </c>
    </row>
    <row r="13" spans="1:5" hidden="1">
      <c r="A13" s="80" t="s">
        <v>117</v>
      </c>
      <c r="B13" s="90">
        <v>2250</v>
      </c>
      <c r="C13" s="90">
        <v>2250</v>
      </c>
      <c r="D13" s="90">
        <v>2250</v>
      </c>
      <c r="E13" s="90">
        <v>2250</v>
      </c>
    </row>
    <row r="14" spans="1:5" hidden="1">
      <c r="A14" s="80" t="s">
        <v>50</v>
      </c>
      <c r="B14" s="90">
        <v>7933.8380005224381</v>
      </c>
      <c r="C14" s="90">
        <v>7933.8380005224381</v>
      </c>
      <c r="D14" s="90">
        <v>7933.8380005224381</v>
      </c>
      <c r="E14" s="90">
        <v>7933.8380005224381</v>
      </c>
    </row>
    <row r="15" spans="1:5">
      <c r="A15" s="80" t="s">
        <v>116</v>
      </c>
      <c r="B15" s="90">
        <v>3750</v>
      </c>
      <c r="C15" s="90">
        <v>3750</v>
      </c>
      <c r="D15" s="90">
        <v>3750</v>
      </c>
      <c r="E15" s="90">
        <v>3750</v>
      </c>
    </row>
    <row r="16" spans="1:5">
      <c r="A16" s="81" t="s">
        <v>135</v>
      </c>
      <c r="B16" s="89">
        <v>0.15601478568928881</v>
      </c>
      <c r="C16" s="89">
        <v>0.17728952919237365</v>
      </c>
      <c r="D16" s="89">
        <v>0.18432748781815772</v>
      </c>
      <c r="E16" s="89">
        <v>0.19438672525453385</v>
      </c>
    </row>
    <row r="17" spans="1:7">
      <c r="A17" s="81" t="s">
        <v>133</v>
      </c>
      <c r="B17" s="91">
        <v>0.20724374267797768</v>
      </c>
      <c r="C17" s="91">
        <v>0.152960134338682</v>
      </c>
      <c r="D17" s="91">
        <v>0.13837478481176618</v>
      </c>
      <c r="E17" s="91">
        <v>0.11971857914278253</v>
      </c>
    </row>
    <row r="18" spans="1:7">
      <c r="A18" s="80" t="s">
        <v>119</v>
      </c>
      <c r="B18" s="92">
        <v>6</v>
      </c>
      <c r="C18" s="92">
        <v>10</v>
      </c>
      <c r="D18" s="92">
        <v>11</v>
      </c>
      <c r="E18" s="92">
        <v>12</v>
      </c>
    </row>
    <row r="19" spans="1:7">
      <c r="A19" s="81" t="s">
        <v>134</v>
      </c>
      <c r="B19" s="93">
        <v>27022.450762758977</v>
      </c>
      <c r="C19" s="93">
        <v>13766.281988067009</v>
      </c>
      <c r="D19" s="93">
        <v>10054.554731153259</v>
      </c>
      <c r="E19" s="93">
        <v>5216.0531283906957</v>
      </c>
    </row>
    <row r="20" spans="1:7">
      <c r="A20" s="80" t="s">
        <v>115</v>
      </c>
      <c r="B20" s="94">
        <v>1.4926587308384187</v>
      </c>
      <c r="C20" s="94">
        <v>1.2896741965993936</v>
      </c>
      <c r="D20" s="94">
        <v>1.2328385270124667</v>
      </c>
      <c r="E20" s="94">
        <v>1.1587491720152228</v>
      </c>
    </row>
    <row r="21" spans="1:7">
      <c r="A21" s="80" t="s">
        <v>114</v>
      </c>
      <c r="B21" s="94">
        <v>1.5673255428967188</v>
      </c>
      <c r="C21" s="94">
        <v>1.3485533226613255</v>
      </c>
      <c r="D21" s="94">
        <v>1.2872971009954153</v>
      </c>
      <c r="E21" s="94">
        <v>1.2074452406094967</v>
      </c>
    </row>
    <row r="27" spans="1:7">
      <c r="G27" s="114"/>
    </row>
  </sheetData>
  <sheetProtection sheet="1" objects="1" scenarios="1"/>
  <pageMargins left="0.7" right="0.7" top="0.75" bottom="0.75" header="0.3" footer="0.3"/>
  <pageSetup scale="64" orientation="landscape" horizontalDpi="1200" verticalDpi="1200" r:id="rId1"/>
  <headerFooter>
    <oddHeader>&amp;C&amp;F&amp;R&amp;D</oddHeader>
    <oddFooter>&amp;LAsian Development Bank, QLW project&amp;C&amp;A&amp;R&amp;N, pj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AA90"/>
  <sheetViews>
    <sheetView topLeftCell="A6" zoomScale="120" zoomScaleNormal="120" workbookViewId="0">
      <selection activeCell="B8" sqref="B8"/>
    </sheetView>
  </sheetViews>
  <sheetFormatPr defaultRowHeight="15"/>
  <cols>
    <col min="1" max="1" width="48.42578125" bestFit="1" customWidth="1"/>
    <col min="2" max="2" width="15.140625" customWidth="1"/>
    <col min="3" max="3" width="12.7109375" bestFit="1" customWidth="1"/>
    <col min="4" max="20" width="11.5703125" bestFit="1" customWidth="1"/>
    <col min="21" max="27" width="12.5703125" bestFit="1" customWidth="1"/>
  </cols>
  <sheetData>
    <row r="1" spans="1:27">
      <c r="A1" s="10" t="s">
        <v>58</v>
      </c>
      <c r="B1" s="96" t="str">
        <f>'Step 1 General Info'!C2</f>
        <v>San Lorenzo Wind farm</v>
      </c>
      <c r="C1" s="3"/>
      <c r="D1" s="3"/>
      <c r="E1" s="3"/>
      <c r="F1" s="3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7">
      <c r="A2" s="6" t="s">
        <v>97</v>
      </c>
      <c r="B2" s="7">
        <v>0</v>
      </c>
      <c r="C2" s="7">
        <v>1</v>
      </c>
      <c r="D2" s="7">
        <v>2</v>
      </c>
      <c r="E2" s="7">
        <v>3</v>
      </c>
      <c r="F2" s="7">
        <v>4</v>
      </c>
      <c r="G2" s="7">
        <v>5</v>
      </c>
      <c r="H2" s="7">
        <v>6</v>
      </c>
      <c r="I2" s="8">
        <v>7</v>
      </c>
      <c r="J2" s="8">
        <v>8</v>
      </c>
      <c r="K2" s="8">
        <v>9</v>
      </c>
      <c r="L2" s="8">
        <v>10</v>
      </c>
      <c r="M2" s="9">
        <v>11</v>
      </c>
      <c r="N2" s="9">
        <v>12</v>
      </c>
      <c r="O2" s="9">
        <v>13</v>
      </c>
      <c r="P2" s="9">
        <v>14</v>
      </c>
      <c r="Q2" s="9">
        <v>15</v>
      </c>
      <c r="R2" s="8">
        <v>16</v>
      </c>
      <c r="S2" s="8">
        <v>17</v>
      </c>
      <c r="T2" s="8">
        <v>18</v>
      </c>
      <c r="U2" s="8">
        <v>19</v>
      </c>
      <c r="V2" s="8">
        <v>20</v>
      </c>
      <c r="W2" s="8">
        <v>21</v>
      </c>
      <c r="X2" s="8">
        <v>22</v>
      </c>
      <c r="Y2" s="8">
        <v>23</v>
      </c>
      <c r="Z2" s="8">
        <v>24</v>
      </c>
      <c r="AA2" s="8">
        <v>25</v>
      </c>
    </row>
    <row r="3" spans="1:27">
      <c r="A3" s="6" t="s">
        <v>139</v>
      </c>
      <c r="B3" s="27">
        <f>'Step 3 Financial'!C15*'Step 2 Wind farm'!C4</f>
        <v>75000</v>
      </c>
      <c r="V3" t="s">
        <v>136</v>
      </c>
    </row>
    <row r="4" spans="1:27">
      <c r="A4" s="11" t="s">
        <v>59</v>
      </c>
      <c r="B4" s="125"/>
    </row>
    <row r="5" spans="1:27">
      <c r="A5" s="12" t="s">
        <v>60</v>
      </c>
      <c r="B5" s="69">
        <f>B3*'Step 3 Financial'!C26</f>
        <v>26250</v>
      </c>
    </row>
    <row r="6" spans="1:27">
      <c r="A6" s="11" t="s">
        <v>61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>
      <c r="A7" s="13" t="s">
        <v>151</v>
      </c>
      <c r="C7" s="116">
        <f>'Step 2 Wind farm'!$C$13</f>
        <v>63534.002399999998</v>
      </c>
      <c r="D7" s="116">
        <f>'Step 2 Wind farm'!$C$13</f>
        <v>63534.002399999998</v>
      </c>
      <c r="E7" s="116">
        <f>'Step 2 Wind farm'!$C$13</f>
        <v>63534.002399999998</v>
      </c>
      <c r="F7" s="116">
        <f>'Step 2 Wind farm'!$C$13</f>
        <v>63534.002399999998</v>
      </c>
      <c r="G7" s="116">
        <f>'Step 2 Wind farm'!$C$13</f>
        <v>63534.002399999998</v>
      </c>
      <c r="H7" s="116">
        <f>'Step 2 Wind farm'!$C$13</f>
        <v>63534.002399999998</v>
      </c>
      <c r="I7" s="116">
        <f>'Step 2 Wind farm'!$C$13</f>
        <v>63534.002399999998</v>
      </c>
      <c r="J7" s="116">
        <f>'Step 2 Wind farm'!$C$13</f>
        <v>63534.002399999998</v>
      </c>
      <c r="K7" s="116">
        <f>'Step 2 Wind farm'!$C$13</f>
        <v>63534.002399999998</v>
      </c>
      <c r="L7" s="116">
        <f>'Step 2 Wind farm'!$C$13</f>
        <v>63534.002399999998</v>
      </c>
      <c r="M7" s="116">
        <f>'Step 2 Wind farm'!$C$13</f>
        <v>63534.002399999998</v>
      </c>
      <c r="N7" s="116">
        <f>'Step 2 Wind farm'!$C$13</f>
        <v>63534.002399999998</v>
      </c>
      <c r="O7" s="116">
        <f>'Step 2 Wind farm'!$C$13</f>
        <v>63534.002399999998</v>
      </c>
      <c r="P7" s="116">
        <f>'Step 2 Wind farm'!$C$13</f>
        <v>63534.002399999998</v>
      </c>
      <c r="Q7" s="116">
        <f>'Step 2 Wind farm'!$C$13</f>
        <v>63534.002399999998</v>
      </c>
      <c r="R7" s="116">
        <f>'Step 2 Wind farm'!$C$13</f>
        <v>63534.002399999998</v>
      </c>
      <c r="S7" s="116">
        <f>'Step 2 Wind farm'!$C$13</f>
        <v>63534.002399999998</v>
      </c>
      <c r="T7" s="116">
        <f>'Step 2 Wind farm'!$C$13</f>
        <v>63534.002399999998</v>
      </c>
      <c r="U7" s="116">
        <f>'Step 2 Wind farm'!$C$13</f>
        <v>63534.002399999998</v>
      </c>
      <c r="V7" s="116">
        <f>'Step 2 Wind farm'!$C$13</f>
        <v>63534.002399999998</v>
      </c>
      <c r="W7" s="116">
        <f>'Step 2 Wind farm'!$C$13</f>
        <v>63534.002399999998</v>
      </c>
      <c r="X7" s="116">
        <f>'Step 2 Wind farm'!$C$13</f>
        <v>63534.002399999998</v>
      </c>
      <c r="Y7" s="116">
        <f>'Step 2 Wind farm'!$C$13</f>
        <v>63534.002399999998</v>
      </c>
      <c r="Z7" s="116">
        <f>'Step 2 Wind farm'!$C$13</f>
        <v>63534.002399999998</v>
      </c>
      <c r="AA7" s="116">
        <f>'Step 2 Wind farm'!$C$13</f>
        <v>63534.002399999998</v>
      </c>
    </row>
    <row r="8" spans="1:27">
      <c r="A8" s="13" t="s">
        <v>62</v>
      </c>
      <c r="B8" s="89">
        <f>'Step 3 Financial'!C3</f>
        <v>0.20653753026634383</v>
      </c>
      <c r="C8">
        <f>$B$8*(1+'Step 3 Financial'!$C$4)^(C2-1)</f>
        <v>0.20653753026634383</v>
      </c>
      <c r="D8">
        <f>$B$8*(1+'Step 3 Financial'!$C$4)^(D2-1)</f>
        <v>0.20653753026634383</v>
      </c>
      <c r="E8">
        <f>$B$8*(1+'Step 3 Financial'!$C$4)^(E2-1)</f>
        <v>0.20653753026634383</v>
      </c>
      <c r="F8">
        <f>$B$8*(1+'Step 3 Financial'!$C$4)^(F2-1)</f>
        <v>0.20653753026634383</v>
      </c>
      <c r="G8">
        <f>$B$8*(1+'Step 3 Financial'!$C$4)^(G2-1)</f>
        <v>0.20653753026634383</v>
      </c>
      <c r="H8">
        <f>$B$8*(1+'Step 3 Financial'!$C$4)^(H2-1)</f>
        <v>0.20653753026634383</v>
      </c>
      <c r="I8">
        <f>$B$8*(1+'Step 3 Financial'!$C$4)^(I2-1)</f>
        <v>0.20653753026634383</v>
      </c>
      <c r="J8">
        <f>$B$8*(1+'Step 3 Financial'!$C$4)^(J2-1)</f>
        <v>0.20653753026634383</v>
      </c>
      <c r="K8">
        <f>$B$8*(1+'Step 3 Financial'!$C$4)^(K2-1)</f>
        <v>0.20653753026634383</v>
      </c>
      <c r="L8">
        <f>$B$8*(1+'Step 3 Financial'!$C$4)^(L2-1)</f>
        <v>0.20653753026634383</v>
      </c>
      <c r="M8">
        <f>$B$8*(1+'Step 3 Financial'!$C$4)^(M2-1)</f>
        <v>0.20653753026634383</v>
      </c>
      <c r="N8">
        <f>$B$8*(1+'Step 3 Financial'!$C$4)^(N2-1)</f>
        <v>0.20653753026634383</v>
      </c>
      <c r="O8">
        <f>$B$8*(1+'Step 3 Financial'!$C$4)^(O2-1)</f>
        <v>0.20653753026634383</v>
      </c>
      <c r="P8">
        <f>$B$8*(1+'Step 3 Financial'!$C$4)^(P2-1)</f>
        <v>0.20653753026634383</v>
      </c>
      <c r="Q8">
        <f>$B$8*(1+'Step 3 Financial'!$C$4)^(Q2-1)</f>
        <v>0.20653753026634383</v>
      </c>
      <c r="R8">
        <f>$B$8*(1+'Step 3 Financial'!$C$4)^(R2-1)</f>
        <v>0.20653753026634383</v>
      </c>
      <c r="S8">
        <f>$B$8*(1+'Step 3 Financial'!$C$4)^(S2-1)</f>
        <v>0.20653753026634383</v>
      </c>
      <c r="T8">
        <f>$B$8*(1+'Step 3 Financial'!$C$4)^(T2-1)</f>
        <v>0.20653753026634383</v>
      </c>
      <c r="U8">
        <f>$B$8*(1+'Step 3 Financial'!$C$4)^(U2-1)</f>
        <v>0.20653753026634383</v>
      </c>
      <c r="V8">
        <f>$B$8*(1+'Step 3 Financial'!$C$4)^(V2-1)</f>
        <v>0.20653753026634383</v>
      </c>
      <c r="W8">
        <f>$B$8*(1+'Step 3 Financial'!$C$4)^(W2-1)</f>
        <v>0.20653753026634383</v>
      </c>
      <c r="X8">
        <f>$B$8*(1+'Step 3 Financial'!$C$4)^(X2-1)</f>
        <v>0.20653753026634383</v>
      </c>
      <c r="Y8">
        <f>$B$8*(1+'Step 3 Financial'!$C$4)^(Y2-1)</f>
        <v>0.20653753026634383</v>
      </c>
      <c r="Z8">
        <f>$B$8*(1+'Step 3 Financial'!$C$4)^(Z2-1)</f>
        <v>0.20653753026634383</v>
      </c>
      <c r="AA8">
        <f>$B$8*(1+'Step 3 Financial'!$C$4)^(AA2-1)</f>
        <v>0.20653753026634383</v>
      </c>
    </row>
    <row r="9" spans="1:27">
      <c r="A9" s="13" t="s">
        <v>63</v>
      </c>
      <c r="C9" s="29">
        <f>C8*C7</f>
        <v>13122.15594363196</v>
      </c>
      <c r="D9" s="29">
        <f t="shared" ref="D9:AA9" si="0">D8*D7</f>
        <v>13122.15594363196</v>
      </c>
      <c r="E9" s="29">
        <f t="shared" si="0"/>
        <v>13122.15594363196</v>
      </c>
      <c r="F9" s="29">
        <f t="shared" si="0"/>
        <v>13122.15594363196</v>
      </c>
      <c r="G9" s="29">
        <f t="shared" si="0"/>
        <v>13122.15594363196</v>
      </c>
      <c r="H9" s="29">
        <f t="shared" si="0"/>
        <v>13122.15594363196</v>
      </c>
      <c r="I9" s="29">
        <f t="shared" si="0"/>
        <v>13122.15594363196</v>
      </c>
      <c r="J9" s="29">
        <f t="shared" si="0"/>
        <v>13122.15594363196</v>
      </c>
      <c r="K9" s="29">
        <f t="shared" si="0"/>
        <v>13122.15594363196</v>
      </c>
      <c r="L9" s="29">
        <f t="shared" si="0"/>
        <v>13122.15594363196</v>
      </c>
      <c r="M9" s="29">
        <f t="shared" si="0"/>
        <v>13122.15594363196</v>
      </c>
      <c r="N9" s="29">
        <f t="shared" si="0"/>
        <v>13122.15594363196</v>
      </c>
      <c r="O9" s="29">
        <f t="shared" si="0"/>
        <v>13122.15594363196</v>
      </c>
      <c r="P9" s="29">
        <f t="shared" si="0"/>
        <v>13122.15594363196</v>
      </c>
      <c r="Q9" s="29">
        <f t="shared" si="0"/>
        <v>13122.15594363196</v>
      </c>
      <c r="R9" s="29">
        <f t="shared" si="0"/>
        <v>13122.15594363196</v>
      </c>
      <c r="S9" s="29">
        <f t="shared" si="0"/>
        <v>13122.15594363196</v>
      </c>
      <c r="T9" s="29">
        <f t="shared" si="0"/>
        <v>13122.15594363196</v>
      </c>
      <c r="U9" s="29">
        <f t="shared" si="0"/>
        <v>13122.15594363196</v>
      </c>
      <c r="V9" s="29">
        <f t="shared" si="0"/>
        <v>13122.15594363196</v>
      </c>
      <c r="W9" s="29">
        <f t="shared" si="0"/>
        <v>13122.15594363196</v>
      </c>
      <c r="X9" s="29">
        <f t="shared" si="0"/>
        <v>13122.15594363196</v>
      </c>
      <c r="Y9" s="29">
        <f t="shared" si="0"/>
        <v>13122.15594363196</v>
      </c>
      <c r="Z9" s="29">
        <f t="shared" si="0"/>
        <v>13122.15594363196</v>
      </c>
      <c r="AA9" s="29">
        <f t="shared" si="0"/>
        <v>13122.15594363196</v>
      </c>
    </row>
    <row r="10" spans="1:27">
      <c r="A10" s="13" t="s">
        <v>64</v>
      </c>
      <c r="C10">
        <f>'Step 3 Financial'!$C$5*(1+'Step 3 Financial'!$C$6)^(C2-1)</f>
        <v>0</v>
      </c>
      <c r="D10">
        <f>'Step 3 Financial'!$C$5*(1+'Step 3 Financial'!$C$6)^(D2-1)</f>
        <v>0</v>
      </c>
      <c r="E10">
        <f>'Step 3 Financial'!$C$5*(1+'Step 3 Financial'!$C$6)^(E2-1)</f>
        <v>0</v>
      </c>
      <c r="F10">
        <f>'Step 3 Financial'!$C$5*(1+'Step 3 Financial'!$C$6)^(F2-1)</f>
        <v>0</v>
      </c>
      <c r="G10">
        <f>'Step 3 Financial'!$C$5*(1+'Step 3 Financial'!$C$6)^(G2-1)</f>
        <v>0</v>
      </c>
      <c r="H10">
        <f>'Step 3 Financial'!$C$5*(1+'Step 3 Financial'!$C$6)^(H2-1)</f>
        <v>0</v>
      </c>
      <c r="I10">
        <f>'Step 3 Financial'!$C$5*(1+'Step 3 Financial'!$C$6)^(I2-1)</f>
        <v>0</v>
      </c>
      <c r="J10">
        <f>'Step 3 Financial'!$C$5*(1+'Step 3 Financial'!$C$6)^(J2-1)</f>
        <v>0</v>
      </c>
      <c r="K10">
        <f>'Step 3 Financial'!$C$5*(1+'Step 3 Financial'!$C$6)^(K2-1)</f>
        <v>0</v>
      </c>
      <c r="L10">
        <f>'Step 3 Financial'!$C$5*(1+'Step 3 Financial'!$C$6)^(L2-1)</f>
        <v>0</v>
      </c>
      <c r="M10">
        <f>'Step 3 Financial'!$C$5*(1+'Step 3 Financial'!$C$6)^(M2-1)</f>
        <v>0</v>
      </c>
      <c r="N10">
        <f>'Step 3 Financial'!$C$5*(1+'Step 3 Financial'!$C$6)^(N2-1)</f>
        <v>0</v>
      </c>
      <c r="O10">
        <f>'Step 3 Financial'!$C$5*(1+'Step 3 Financial'!$C$6)^(O2-1)</f>
        <v>0</v>
      </c>
      <c r="P10">
        <f>'Step 3 Financial'!$C$5*(1+'Step 3 Financial'!$C$6)^(P2-1)</f>
        <v>0</v>
      </c>
      <c r="Q10">
        <f>'Step 3 Financial'!$C$5*(1+'Step 3 Financial'!$C$6)^(Q2-1)</f>
        <v>0</v>
      </c>
      <c r="R10">
        <f>'Step 3 Financial'!$C$5*(1+'Step 3 Financial'!$C$6)^(R2-1)</f>
        <v>0</v>
      </c>
      <c r="S10">
        <f>'Step 3 Financial'!$C$5*(1+'Step 3 Financial'!$C$6)^(S2-1)</f>
        <v>0</v>
      </c>
      <c r="T10">
        <f>'Step 3 Financial'!$C$5*(1+'Step 3 Financial'!$C$6)^(T2-1)</f>
        <v>0</v>
      </c>
      <c r="U10">
        <f>'Step 3 Financial'!$C$5*(1+'Step 3 Financial'!$C$6)^(U2-1)</f>
        <v>0</v>
      </c>
      <c r="V10">
        <f>'Step 3 Financial'!$C$5*(1+'Step 3 Financial'!$C$6)^(V2-1)</f>
        <v>0</v>
      </c>
      <c r="W10">
        <f>'Step 3 Financial'!$C$5*(1+'Step 3 Financial'!$C$6)^(W2-1)</f>
        <v>0</v>
      </c>
      <c r="X10">
        <f>'Step 3 Financial'!$C$5*(1+'Step 3 Financial'!$C$6)^(X2-1)</f>
        <v>0</v>
      </c>
      <c r="Y10">
        <f>'Step 3 Financial'!$C$5*(1+'Step 3 Financial'!$C$6)^(Y2-1)</f>
        <v>0</v>
      </c>
      <c r="Z10">
        <f>'Step 3 Financial'!$C$5*(1+'Step 3 Financial'!$C$6)^(Z2-1)</f>
        <v>0</v>
      </c>
      <c r="AA10">
        <f>'Step 3 Financial'!$C$5*(1+'Step 3 Financial'!$C$6)^(AA2-1)</f>
        <v>0</v>
      </c>
    </row>
    <row r="11" spans="1:27">
      <c r="A11" s="14" t="s">
        <v>65</v>
      </c>
      <c r="C11" s="29">
        <f>C10*C7</f>
        <v>0</v>
      </c>
      <c r="D11" s="29">
        <f t="shared" ref="D11:AA11" si="1">D10*D7</f>
        <v>0</v>
      </c>
      <c r="E11" s="29">
        <f t="shared" si="1"/>
        <v>0</v>
      </c>
      <c r="F11" s="29">
        <f t="shared" si="1"/>
        <v>0</v>
      </c>
      <c r="G11" s="29">
        <f t="shared" si="1"/>
        <v>0</v>
      </c>
      <c r="H11" s="29">
        <f t="shared" si="1"/>
        <v>0</v>
      </c>
      <c r="I11" s="29">
        <f t="shared" si="1"/>
        <v>0</v>
      </c>
      <c r="J11" s="29">
        <f t="shared" si="1"/>
        <v>0</v>
      </c>
      <c r="K11" s="29">
        <f t="shared" si="1"/>
        <v>0</v>
      </c>
      <c r="L11" s="29">
        <f t="shared" si="1"/>
        <v>0</v>
      </c>
      <c r="M11" s="29">
        <f t="shared" si="1"/>
        <v>0</v>
      </c>
      <c r="N11" s="29">
        <f t="shared" si="1"/>
        <v>0</v>
      </c>
      <c r="O11" s="29">
        <f t="shared" si="1"/>
        <v>0</v>
      </c>
      <c r="P11" s="29">
        <f t="shared" si="1"/>
        <v>0</v>
      </c>
      <c r="Q11" s="29">
        <f t="shared" si="1"/>
        <v>0</v>
      </c>
      <c r="R11" s="29">
        <f t="shared" si="1"/>
        <v>0</v>
      </c>
      <c r="S11" s="29">
        <f t="shared" si="1"/>
        <v>0</v>
      </c>
      <c r="T11" s="29">
        <f t="shared" si="1"/>
        <v>0</v>
      </c>
      <c r="U11" s="29">
        <f t="shared" si="1"/>
        <v>0</v>
      </c>
      <c r="V11" s="29">
        <f t="shared" si="1"/>
        <v>0</v>
      </c>
      <c r="W11" s="29">
        <f t="shared" si="1"/>
        <v>0</v>
      </c>
      <c r="X11" s="29">
        <f t="shared" si="1"/>
        <v>0</v>
      </c>
      <c r="Y11" s="29">
        <f t="shared" si="1"/>
        <v>0</v>
      </c>
      <c r="Z11" s="29">
        <f t="shared" si="1"/>
        <v>0</v>
      </c>
      <c r="AA11" s="29">
        <f t="shared" si="1"/>
        <v>0</v>
      </c>
    </row>
    <row r="12" spans="1:27">
      <c r="A12" s="6" t="s">
        <v>66</v>
      </c>
      <c r="C12" s="27">
        <f>C11+C9</f>
        <v>13122.15594363196</v>
      </c>
      <c r="D12" s="27">
        <f t="shared" ref="D12:AA12" si="2">D11+D9</f>
        <v>13122.15594363196</v>
      </c>
      <c r="E12" s="27">
        <f t="shared" si="2"/>
        <v>13122.15594363196</v>
      </c>
      <c r="F12" s="27">
        <f t="shared" si="2"/>
        <v>13122.15594363196</v>
      </c>
      <c r="G12" s="27">
        <f t="shared" si="2"/>
        <v>13122.15594363196</v>
      </c>
      <c r="H12" s="27">
        <f t="shared" si="2"/>
        <v>13122.15594363196</v>
      </c>
      <c r="I12" s="27">
        <f t="shared" si="2"/>
        <v>13122.15594363196</v>
      </c>
      <c r="J12" s="27">
        <f t="shared" si="2"/>
        <v>13122.15594363196</v>
      </c>
      <c r="K12" s="27">
        <f t="shared" si="2"/>
        <v>13122.15594363196</v>
      </c>
      <c r="L12" s="27">
        <f t="shared" si="2"/>
        <v>13122.15594363196</v>
      </c>
      <c r="M12" s="27">
        <f t="shared" si="2"/>
        <v>13122.15594363196</v>
      </c>
      <c r="N12" s="27">
        <f t="shared" si="2"/>
        <v>13122.15594363196</v>
      </c>
      <c r="O12" s="27">
        <f t="shared" si="2"/>
        <v>13122.15594363196</v>
      </c>
      <c r="P12" s="27">
        <f t="shared" si="2"/>
        <v>13122.15594363196</v>
      </c>
      <c r="Q12" s="27">
        <f t="shared" si="2"/>
        <v>13122.15594363196</v>
      </c>
      <c r="R12" s="27">
        <f t="shared" si="2"/>
        <v>13122.15594363196</v>
      </c>
      <c r="S12" s="27">
        <f t="shared" si="2"/>
        <v>13122.15594363196</v>
      </c>
      <c r="T12" s="27">
        <f t="shared" si="2"/>
        <v>13122.15594363196</v>
      </c>
      <c r="U12" s="27">
        <f t="shared" si="2"/>
        <v>13122.15594363196</v>
      </c>
      <c r="V12" s="27">
        <f t="shared" si="2"/>
        <v>13122.15594363196</v>
      </c>
      <c r="W12" s="27">
        <f t="shared" si="2"/>
        <v>13122.15594363196</v>
      </c>
      <c r="X12" s="27">
        <f t="shared" si="2"/>
        <v>13122.15594363196</v>
      </c>
      <c r="Y12" s="27">
        <f t="shared" si="2"/>
        <v>13122.15594363196</v>
      </c>
      <c r="Z12" s="27">
        <f t="shared" si="2"/>
        <v>13122.15594363196</v>
      </c>
      <c r="AA12" s="27">
        <f t="shared" si="2"/>
        <v>13122.15594363196</v>
      </c>
    </row>
    <row r="13" spans="1:27">
      <c r="A13" s="12"/>
    </row>
    <row r="14" spans="1:27">
      <c r="A14" s="11" t="s">
        <v>67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</row>
    <row r="15" spans="1:27">
      <c r="A15" s="13" t="s">
        <v>68</v>
      </c>
      <c r="C15" s="29">
        <f>'Step 3 Financial'!$C$18*(1+'Step 3 Financial'!$C$19)^(C2-1)*C7</f>
        <v>2250</v>
      </c>
      <c r="D15" s="29">
        <f>'Step 3 Financial'!$C$18*(1+'Step 3 Financial'!$C$19)^(D2-1)*D7</f>
        <v>2250</v>
      </c>
      <c r="E15" s="29">
        <f>'Step 3 Financial'!$C$18*(1+'Step 3 Financial'!$C$19)^(E2-1)*E7</f>
        <v>2250</v>
      </c>
      <c r="F15" s="29">
        <f>'Step 3 Financial'!$C$18*(1+'Step 3 Financial'!$C$19)^(F2-1)*F7</f>
        <v>2250</v>
      </c>
      <c r="G15" s="29">
        <f>'Step 3 Financial'!$C$18*(1+'Step 3 Financial'!$C$19)^(G2-1)*G7</f>
        <v>2250</v>
      </c>
      <c r="H15" s="29">
        <f>'Step 3 Financial'!$C$18*(1+'Step 3 Financial'!$C$19)^(H2-1)*H7</f>
        <v>2250</v>
      </c>
      <c r="I15" s="29">
        <f>'Step 3 Financial'!$C$18*(1+'Step 3 Financial'!$C$19)^(I2-1)*I7</f>
        <v>2250</v>
      </c>
      <c r="J15" s="29">
        <f>'Step 3 Financial'!$C$18*(1+'Step 3 Financial'!$C$19)^(J2-1)*J7</f>
        <v>2250</v>
      </c>
      <c r="K15" s="29">
        <f>'Step 3 Financial'!$C$18*(1+'Step 3 Financial'!$C$19)^(K2-1)*K7</f>
        <v>2250</v>
      </c>
      <c r="L15" s="29">
        <f>'Step 3 Financial'!$C$18*(1+'Step 3 Financial'!$C$19)^(L2-1)*L7</f>
        <v>2250</v>
      </c>
      <c r="M15" s="29">
        <f>'Step 3 Financial'!$C$18*(1+'Step 3 Financial'!$C$19)^(M2-1)*M7</f>
        <v>2250</v>
      </c>
      <c r="N15" s="29">
        <f>'Step 3 Financial'!$C$18*(1+'Step 3 Financial'!$C$19)^(N2-1)*N7</f>
        <v>2250</v>
      </c>
      <c r="O15" s="29">
        <f>'Step 3 Financial'!$C$18*(1+'Step 3 Financial'!$C$19)^(O2-1)*O7</f>
        <v>2250</v>
      </c>
      <c r="P15" s="29">
        <f>'Step 3 Financial'!$C$18*(1+'Step 3 Financial'!$C$19)^(P2-1)*P7</f>
        <v>2250</v>
      </c>
      <c r="Q15" s="29">
        <f>'Step 3 Financial'!$C$18*(1+'Step 3 Financial'!$C$19)^(Q2-1)*Q7</f>
        <v>2250</v>
      </c>
      <c r="R15" s="29">
        <f>'Step 3 Financial'!$C$18*(1+'Step 3 Financial'!$C$19)^(R2-1)*R7</f>
        <v>2250</v>
      </c>
      <c r="S15" s="29">
        <f>'Step 3 Financial'!$C$18*(1+'Step 3 Financial'!$C$19)^(S2-1)*S7</f>
        <v>2250</v>
      </c>
      <c r="T15" s="29">
        <f>'Step 3 Financial'!$C$18*(1+'Step 3 Financial'!$C$19)^(T2-1)*T7</f>
        <v>2250</v>
      </c>
      <c r="U15" s="29">
        <f>'Step 3 Financial'!$C$18*(1+'Step 3 Financial'!$C$19)^(U2-1)*U7</f>
        <v>2250</v>
      </c>
      <c r="V15" s="29">
        <f>'Step 3 Financial'!$C$18*(1+'Step 3 Financial'!$C$19)^(V2-1)*V7</f>
        <v>2250</v>
      </c>
      <c r="W15" s="29">
        <f>'Step 3 Financial'!$C$18*(1+'Step 3 Financial'!$C$19)^(W2-1)*W7</f>
        <v>2250</v>
      </c>
      <c r="X15" s="29">
        <f>'Step 3 Financial'!$C$18*(1+'Step 3 Financial'!$C$19)^(X2-1)*X7</f>
        <v>2250</v>
      </c>
      <c r="Y15" s="29">
        <f>'Step 3 Financial'!$C$18*(1+'Step 3 Financial'!$C$19)^(Y2-1)*Y7</f>
        <v>2250</v>
      </c>
      <c r="Z15" s="29">
        <f>'Step 3 Financial'!$C$18*(1+'Step 3 Financial'!$C$19)^(Z2-1)*Z7</f>
        <v>2250</v>
      </c>
      <c r="AA15" s="29">
        <f>'Step 3 Financial'!$C$18*(1+'Step 3 Financial'!$C$19)^(AA2-1)*AA7</f>
        <v>2250</v>
      </c>
    </row>
    <row r="16" spans="1:27" hidden="1">
      <c r="A16" s="13" t="s">
        <v>69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</row>
    <row r="17" spans="1:27" hidden="1">
      <c r="A17" s="15" t="s">
        <v>70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</row>
    <row r="18" spans="1:27">
      <c r="A18" s="16" t="s">
        <v>71</v>
      </c>
      <c r="C18" s="27">
        <f>SUM(C15:C17)</f>
        <v>2250</v>
      </c>
      <c r="D18" s="27">
        <f t="shared" ref="D18:AA18" si="3">SUM(D15:D17)</f>
        <v>2250</v>
      </c>
      <c r="E18" s="27">
        <f t="shared" si="3"/>
        <v>2250</v>
      </c>
      <c r="F18" s="27">
        <f t="shared" si="3"/>
        <v>2250</v>
      </c>
      <c r="G18" s="27">
        <f t="shared" si="3"/>
        <v>2250</v>
      </c>
      <c r="H18" s="27">
        <f t="shared" si="3"/>
        <v>2250</v>
      </c>
      <c r="I18" s="27">
        <f t="shared" si="3"/>
        <v>2250</v>
      </c>
      <c r="J18" s="27">
        <f t="shared" si="3"/>
        <v>2250</v>
      </c>
      <c r="K18" s="27">
        <f t="shared" si="3"/>
        <v>2250</v>
      </c>
      <c r="L18" s="27">
        <f t="shared" si="3"/>
        <v>2250</v>
      </c>
      <c r="M18" s="27">
        <f t="shared" si="3"/>
        <v>2250</v>
      </c>
      <c r="N18" s="27">
        <f t="shared" si="3"/>
        <v>2250</v>
      </c>
      <c r="O18" s="27">
        <f t="shared" si="3"/>
        <v>2250</v>
      </c>
      <c r="P18" s="27">
        <f t="shared" si="3"/>
        <v>2250</v>
      </c>
      <c r="Q18" s="27">
        <f t="shared" si="3"/>
        <v>2250</v>
      </c>
      <c r="R18" s="27">
        <f t="shared" si="3"/>
        <v>2250</v>
      </c>
      <c r="S18" s="27">
        <f t="shared" si="3"/>
        <v>2250</v>
      </c>
      <c r="T18" s="27">
        <f t="shared" si="3"/>
        <v>2250</v>
      </c>
      <c r="U18" s="27">
        <f t="shared" si="3"/>
        <v>2250</v>
      </c>
      <c r="V18" s="27">
        <f t="shared" si="3"/>
        <v>2250</v>
      </c>
      <c r="W18" s="27">
        <f t="shared" si="3"/>
        <v>2250</v>
      </c>
      <c r="X18" s="27">
        <f t="shared" si="3"/>
        <v>2250</v>
      </c>
      <c r="Y18" s="27">
        <f t="shared" si="3"/>
        <v>2250</v>
      </c>
      <c r="Z18" s="27">
        <f t="shared" si="3"/>
        <v>2250</v>
      </c>
      <c r="AA18" s="27">
        <f t="shared" si="3"/>
        <v>2250</v>
      </c>
    </row>
    <row r="19" spans="1:27">
      <c r="A19" s="17"/>
    </row>
    <row r="20" spans="1:27">
      <c r="A20" s="11" t="s">
        <v>72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</row>
    <row r="21" spans="1:27">
      <c r="A21" s="18" t="s">
        <v>73</v>
      </c>
      <c r="C21" s="27">
        <f>C12-C18</f>
        <v>10872.15594363196</v>
      </c>
      <c r="D21" s="27">
        <f t="shared" ref="D21:AA21" si="4">D12-D18</f>
        <v>10872.15594363196</v>
      </c>
      <c r="E21" s="27">
        <f t="shared" si="4"/>
        <v>10872.15594363196</v>
      </c>
      <c r="F21" s="27">
        <f t="shared" si="4"/>
        <v>10872.15594363196</v>
      </c>
      <c r="G21" s="27">
        <f t="shared" si="4"/>
        <v>10872.15594363196</v>
      </c>
      <c r="H21" s="27">
        <f t="shared" si="4"/>
        <v>10872.15594363196</v>
      </c>
      <c r="I21" s="27">
        <f t="shared" si="4"/>
        <v>10872.15594363196</v>
      </c>
      <c r="J21" s="27">
        <f t="shared" si="4"/>
        <v>10872.15594363196</v>
      </c>
      <c r="K21" s="27">
        <f t="shared" si="4"/>
        <v>10872.15594363196</v>
      </c>
      <c r="L21" s="27">
        <f t="shared" si="4"/>
        <v>10872.15594363196</v>
      </c>
      <c r="M21" s="27">
        <f t="shared" si="4"/>
        <v>10872.15594363196</v>
      </c>
      <c r="N21" s="27">
        <f t="shared" si="4"/>
        <v>10872.15594363196</v>
      </c>
      <c r="O21" s="27">
        <f t="shared" si="4"/>
        <v>10872.15594363196</v>
      </c>
      <c r="P21" s="27">
        <f t="shared" si="4"/>
        <v>10872.15594363196</v>
      </c>
      <c r="Q21" s="27">
        <f t="shared" si="4"/>
        <v>10872.15594363196</v>
      </c>
      <c r="R21" s="27">
        <f t="shared" si="4"/>
        <v>10872.15594363196</v>
      </c>
      <c r="S21" s="27">
        <f t="shared" si="4"/>
        <v>10872.15594363196</v>
      </c>
      <c r="T21" s="27">
        <f t="shared" si="4"/>
        <v>10872.15594363196</v>
      </c>
      <c r="U21" s="27">
        <f t="shared" si="4"/>
        <v>10872.15594363196</v>
      </c>
      <c r="V21" s="27">
        <f t="shared" si="4"/>
        <v>10872.15594363196</v>
      </c>
      <c r="W21" s="27">
        <f t="shared" si="4"/>
        <v>10872.15594363196</v>
      </c>
      <c r="X21" s="27">
        <f t="shared" si="4"/>
        <v>10872.15594363196</v>
      </c>
      <c r="Y21" s="27">
        <f t="shared" si="4"/>
        <v>10872.15594363196</v>
      </c>
      <c r="Z21" s="27">
        <f t="shared" si="4"/>
        <v>10872.15594363196</v>
      </c>
      <c r="AA21" s="27">
        <f t="shared" si="4"/>
        <v>10872.15594363196</v>
      </c>
    </row>
    <row r="22" spans="1:27">
      <c r="A22" s="15" t="s">
        <v>74</v>
      </c>
      <c r="C22" s="29">
        <f>B86</f>
        <v>3750</v>
      </c>
      <c r="D22" s="29">
        <f t="shared" ref="D22:AA22" si="5">C86</f>
        <v>3750</v>
      </c>
      <c r="E22" s="29">
        <f t="shared" si="5"/>
        <v>3750</v>
      </c>
      <c r="F22" s="29">
        <f t="shared" si="5"/>
        <v>3750</v>
      </c>
      <c r="G22" s="29">
        <f t="shared" si="5"/>
        <v>3750</v>
      </c>
      <c r="H22" s="29">
        <f t="shared" si="5"/>
        <v>3750</v>
      </c>
      <c r="I22" s="29">
        <f t="shared" si="5"/>
        <v>3750</v>
      </c>
      <c r="J22" s="29">
        <f t="shared" si="5"/>
        <v>3750</v>
      </c>
      <c r="K22" s="29">
        <f t="shared" si="5"/>
        <v>3750</v>
      </c>
      <c r="L22" s="29">
        <f t="shared" si="5"/>
        <v>3750</v>
      </c>
      <c r="M22" s="29">
        <f t="shared" si="5"/>
        <v>3750</v>
      </c>
      <c r="N22" s="29">
        <f t="shared" si="5"/>
        <v>3750</v>
      </c>
      <c r="O22" s="29">
        <f t="shared" si="5"/>
        <v>3750</v>
      </c>
      <c r="P22" s="29">
        <f t="shared" si="5"/>
        <v>3750</v>
      </c>
      <c r="Q22" s="29">
        <f t="shared" si="5"/>
        <v>3750</v>
      </c>
      <c r="R22" s="29">
        <f t="shared" si="5"/>
        <v>3750</v>
      </c>
      <c r="S22" s="29">
        <f t="shared" si="5"/>
        <v>3750</v>
      </c>
      <c r="T22" s="29">
        <f t="shared" si="5"/>
        <v>3750</v>
      </c>
      <c r="U22" s="29">
        <f t="shared" si="5"/>
        <v>3750</v>
      </c>
      <c r="V22" s="29">
        <f t="shared" si="5"/>
        <v>3750</v>
      </c>
      <c r="W22" s="29">
        <f t="shared" si="5"/>
        <v>0</v>
      </c>
      <c r="X22" s="29">
        <f t="shared" si="5"/>
        <v>0</v>
      </c>
      <c r="Y22" s="29">
        <f t="shared" si="5"/>
        <v>0</v>
      </c>
      <c r="Z22" s="29">
        <f t="shared" si="5"/>
        <v>0</v>
      </c>
      <c r="AA22" s="29">
        <f t="shared" si="5"/>
        <v>0</v>
      </c>
    </row>
    <row r="23" spans="1:27">
      <c r="A23" s="19" t="s">
        <v>75</v>
      </c>
      <c r="C23" s="29">
        <f>B69</f>
        <v>4875</v>
      </c>
      <c r="D23" s="29">
        <f t="shared" ref="D23:AA23" si="6">C69</f>
        <v>4569.1161999477563</v>
      </c>
      <c r="E23" s="29">
        <f t="shared" si="6"/>
        <v>4232.6440198902883</v>
      </c>
      <c r="F23" s="29">
        <f t="shared" si="6"/>
        <v>3862.5246218270727</v>
      </c>
      <c r="G23" s="29">
        <f t="shared" si="6"/>
        <v>3455.3932839575364</v>
      </c>
      <c r="H23" s="29">
        <f t="shared" si="6"/>
        <v>3007.5488123010459</v>
      </c>
      <c r="I23" s="29">
        <f t="shared" si="6"/>
        <v>2514.9198934789069</v>
      </c>
      <c r="J23" s="29">
        <f t="shared" si="6"/>
        <v>1973.0280827745535</v>
      </c>
      <c r="K23" s="29">
        <f t="shared" si="6"/>
        <v>1376.9470909997651</v>
      </c>
      <c r="L23" s="29">
        <f t="shared" si="6"/>
        <v>721.25800004749772</v>
      </c>
      <c r="M23" s="29">
        <f t="shared" si="6"/>
        <v>3.7289282772690063E-12</v>
      </c>
      <c r="N23" s="29">
        <f t="shared" si="6"/>
        <v>3.7289282772690063E-12</v>
      </c>
      <c r="O23" s="29">
        <f t="shared" si="6"/>
        <v>3.7289282772690063E-12</v>
      </c>
      <c r="P23" s="29">
        <f t="shared" si="6"/>
        <v>3.7289282772690063E-12</v>
      </c>
      <c r="Q23" s="29">
        <f t="shared" si="6"/>
        <v>3.7289282772690063E-12</v>
      </c>
      <c r="R23" s="29">
        <f t="shared" si="6"/>
        <v>0</v>
      </c>
      <c r="S23" s="29">
        <f t="shared" si="6"/>
        <v>0</v>
      </c>
      <c r="T23" s="29">
        <f t="shared" si="6"/>
        <v>0</v>
      </c>
      <c r="U23" s="29">
        <f t="shared" si="6"/>
        <v>0</v>
      </c>
      <c r="V23" s="29">
        <f t="shared" si="6"/>
        <v>0</v>
      </c>
      <c r="W23" s="29">
        <f t="shared" si="6"/>
        <v>0</v>
      </c>
      <c r="X23" s="29">
        <f t="shared" si="6"/>
        <v>0</v>
      </c>
      <c r="Y23" s="29">
        <f t="shared" si="6"/>
        <v>0</v>
      </c>
      <c r="Z23" s="29">
        <f t="shared" si="6"/>
        <v>0</v>
      </c>
      <c r="AA23" s="29">
        <f t="shared" si="6"/>
        <v>0</v>
      </c>
    </row>
    <row r="24" spans="1:27">
      <c r="A24" s="19"/>
    </row>
    <row r="25" spans="1:27" ht="15.75" thickBot="1">
      <c r="A25" s="16" t="s">
        <v>76</v>
      </c>
      <c r="C25" s="66">
        <f>C18+SUM(C22:C24)</f>
        <v>10875</v>
      </c>
      <c r="D25" s="66">
        <f t="shared" ref="D25:AA25" si="7">D18+SUM(D22:D24)</f>
        <v>10569.116199947755</v>
      </c>
      <c r="E25" s="66">
        <f t="shared" si="7"/>
        <v>10232.644019890289</v>
      </c>
      <c r="F25" s="66">
        <f t="shared" si="7"/>
        <v>9862.5246218270731</v>
      </c>
      <c r="G25" s="66">
        <f t="shared" si="7"/>
        <v>9455.3932839575355</v>
      </c>
      <c r="H25" s="66">
        <f t="shared" si="7"/>
        <v>9007.5488123010455</v>
      </c>
      <c r="I25" s="66">
        <f t="shared" si="7"/>
        <v>8514.9198934789074</v>
      </c>
      <c r="J25" s="66">
        <f t="shared" si="7"/>
        <v>7973.0280827745537</v>
      </c>
      <c r="K25" s="66">
        <f t="shared" si="7"/>
        <v>7376.9470909997654</v>
      </c>
      <c r="L25" s="66">
        <f t="shared" si="7"/>
        <v>6721.2580000474973</v>
      </c>
      <c r="M25" s="66">
        <f t="shared" si="7"/>
        <v>6000.0000000000036</v>
      </c>
      <c r="N25" s="66">
        <f t="shared" si="7"/>
        <v>6000.0000000000036</v>
      </c>
      <c r="O25" s="66">
        <f t="shared" si="7"/>
        <v>6000.0000000000036</v>
      </c>
      <c r="P25" s="66">
        <f t="shared" si="7"/>
        <v>6000.0000000000036</v>
      </c>
      <c r="Q25" s="66">
        <f t="shared" si="7"/>
        <v>6000.0000000000036</v>
      </c>
      <c r="R25" s="66">
        <f t="shared" si="7"/>
        <v>6000</v>
      </c>
      <c r="S25" s="66">
        <f t="shared" si="7"/>
        <v>6000</v>
      </c>
      <c r="T25" s="66">
        <f t="shared" si="7"/>
        <v>6000</v>
      </c>
      <c r="U25" s="66">
        <f t="shared" si="7"/>
        <v>6000</v>
      </c>
      <c r="V25" s="66">
        <f t="shared" si="7"/>
        <v>6000</v>
      </c>
      <c r="W25" s="66">
        <f t="shared" si="7"/>
        <v>2250</v>
      </c>
      <c r="X25" s="66">
        <f t="shared" si="7"/>
        <v>2250</v>
      </c>
      <c r="Y25" s="66">
        <f t="shared" si="7"/>
        <v>2250</v>
      </c>
      <c r="Z25" s="66">
        <f t="shared" si="7"/>
        <v>2250</v>
      </c>
      <c r="AA25" s="66">
        <f t="shared" si="7"/>
        <v>2250</v>
      </c>
    </row>
    <row r="26" spans="1:27">
      <c r="A26" s="21" t="s">
        <v>77</v>
      </c>
      <c r="C26" s="27">
        <f>C12-C25</f>
        <v>2247.1559436319603</v>
      </c>
      <c r="D26" s="27">
        <f t="shared" ref="D26:AA26" si="8">D12-D25</f>
        <v>2553.039743684205</v>
      </c>
      <c r="E26" s="27">
        <f t="shared" si="8"/>
        <v>2889.5119237416711</v>
      </c>
      <c r="F26" s="27">
        <f t="shared" si="8"/>
        <v>3259.6313218048872</v>
      </c>
      <c r="G26" s="27">
        <f t="shared" si="8"/>
        <v>3666.7626596744249</v>
      </c>
      <c r="H26" s="27">
        <f t="shared" si="8"/>
        <v>4114.6071313309149</v>
      </c>
      <c r="I26" s="27">
        <f t="shared" si="8"/>
        <v>4607.2360501530529</v>
      </c>
      <c r="J26" s="27">
        <f t="shared" si="8"/>
        <v>5149.1278608574066</v>
      </c>
      <c r="K26" s="27">
        <f t="shared" si="8"/>
        <v>5745.208852632195</v>
      </c>
      <c r="L26" s="27">
        <f t="shared" si="8"/>
        <v>6400.8979435844631</v>
      </c>
      <c r="M26" s="27">
        <f t="shared" si="8"/>
        <v>7122.1559436319567</v>
      </c>
      <c r="N26" s="27">
        <f t="shared" si="8"/>
        <v>7122.1559436319567</v>
      </c>
      <c r="O26" s="27">
        <f t="shared" si="8"/>
        <v>7122.1559436319567</v>
      </c>
      <c r="P26" s="27">
        <f t="shared" si="8"/>
        <v>7122.1559436319567</v>
      </c>
      <c r="Q26" s="27">
        <f t="shared" si="8"/>
        <v>7122.1559436319567</v>
      </c>
      <c r="R26" s="27">
        <f t="shared" si="8"/>
        <v>7122.1559436319603</v>
      </c>
      <c r="S26" s="27">
        <f t="shared" si="8"/>
        <v>7122.1559436319603</v>
      </c>
      <c r="T26" s="27">
        <f t="shared" si="8"/>
        <v>7122.1559436319603</v>
      </c>
      <c r="U26" s="27">
        <f t="shared" si="8"/>
        <v>7122.1559436319603</v>
      </c>
      <c r="V26" s="27">
        <f t="shared" si="8"/>
        <v>7122.1559436319603</v>
      </c>
      <c r="W26" s="27">
        <f t="shared" si="8"/>
        <v>10872.15594363196</v>
      </c>
      <c r="X26" s="27">
        <f t="shared" si="8"/>
        <v>10872.15594363196</v>
      </c>
      <c r="Y26" s="27">
        <f t="shared" si="8"/>
        <v>10872.15594363196</v>
      </c>
      <c r="Z26" s="27">
        <f t="shared" si="8"/>
        <v>10872.15594363196</v>
      </c>
      <c r="AA26" s="27">
        <f t="shared" si="8"/>
        <v>10872.15594363196</v>
      </c>
    </row>
    <row r="27" spans="1:27">
      <c r="A27" s="22"/>
    </row>
    <row r="28" spans="1:27">
      <c r="A28" s="11" t="s">
        <v>78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>
      <c r="A29" s="13" t="s">
        <v>79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f>IF(J26&lt;0,-'Step 3 Financial'!$C31*J26, -'Step 3 Financial'!$C31*J26)</f>
        <v>-514.91278608574066</v>
      </c>
      <c r="K29" s="67">
        <f>IF(K26&lt;0,-'Step 3 Financial'!$C31*K26, -'Step 3 Financial'!$C31*K26)</f>
        <v>-574.5208852632195</v>
      </c>
      <c r="L29" s="67">
        <f>IF(L26&lt;0,-'Step 3 Financial'!$C31*L26, -'Step 3 Financial'!$C31*L26)</f>
        <v>-640.0897943584464</v>
      </c>
      <c r="M29" s="67">
        <f>IF(M26&lt;0,-'Step 3 Financial'!$C31*M26, -'Step 3 Financial'!$C31*M26)</f>
        <v>-712.21559436319569</v>
      </c>
      <c r="N29" s="67">
        <f>IF(N26&lt;0,-'Step 3 Financial'!$C31*N26, -'Step 3 Financial'!$C31*N26)</f>
        <v>-712.21559436319569</v>
      </c>
      <c r="O29" s="67">
        <f>IF(O26&lt;0,-'Step 3 Financial'!$C31*O26, -'Step 3 Financial'!$C31*O26)</f>
        <v>-712.21559436319569</v>
      </c>
      <c r="P29" s="67">
        <f>IF(P26&lt;0,-'Step 3 Financial'!$C31*P26, -'Step 3 Financial'!$C31*P26)</f>
        <v>-712.21559436319569</v>
      </c>
      <c r="Q29" s="67">
        <f>IF(Q26&lt;0,-'Step 3 Financial'!$C31*Q26, -'Step 3 Financial'!$C31*Q26)</f>
        <v>-712.21559436319569</v>
      </c>
      <c r="R29" s="67">
        <f>IF(R26&lt;0,-'Step 3 Financial'!$C31*R26, -'Step 3 Financial'!$C31*R26)</f>
        <v>-712.21559436319603</v>
      </c>
      <c r="S29" s="67">
        <f>IF(S26&lt;0,-'Step 3 Financial'!$C31*S26, -'Step 3 Financial'!$C31*S26)</f>
        <v>-712.21559436319603</v>
      </c>
      <c r="T29" s="67">
        <f>IF(T26&lt;0,-'Step 3 Financial'!$C31*T26, -'Step 3 Financial'!$C31*T26)</f>
        <v>-712.21559436319603</v>
      </c>
      <c r="U29" s="67">
        <f>IF(U26&lt;0,-'Step 3 Financial'!$C31*U26, -'Step 3 Financial'!$C31*U26)</f>
        <v>-712.21559436319603</v>
      </c>
      <c r="V29" s="67">
        <f>IF(V26&lt;0,-'Step 3 Financial'!$C31*V26, -'Step 3 Financial'!$C31*V26)</f>
        <v>-712.21559436319603</v>
      </c>
      <c r="W29" s="67">
        <f>IF(W26&lt;0,-'Step 3 Financial'!$C31*W26, -'Step 3 Financial'!$C31*W26)</f>
        <v>-1087.215594363196</v>
      </c>
      <c r="X29" s="67">
        <f>IF(X26&lt;0,-'Step 3 Financial'!$C31*X26, -'Step 3 Financial'!$C31*X26)</f>
        <v>-1087.215594363196</v>
      </c>
      <c r="Y29" s="67">
        <f>IF(Y26&lt;0,-'Step 3 Financial'!$C31*Y26, -'Step 3 Financial'!$C31*Y26)</f>
        <v>-1087.215594363196</v>
      </c>
      <c r="Z29" s="67">
        <f>IF(Z26&lt;0,-'Step 3 Financial'!$C31*Z26, -'Step 3 Financial'!$C31*Z26)</f>
        <v>-1087.215594363196</v>
      </c>
      <c r="AA29" s="67">
        <f>IF(AA26&lt;0,-'Step 3 Financial'!$C31*AA26, -'Step 3 Financial'!$C31*AA26)</f>
        <v>-1087.215594363196</v>
      </c>
    </row>
    <row r="30" spans="1:27">
      <c r="A30" s="13" t="s">
        <v>80</v>
      </c>
      <c r="C30" s="29">
        <f>IF('Step 3 Financial'!$C$8&gt;=C2,'Step 3 Financial'!$C$7*(1+'Step 3 Financial'!$C$9)^(C2-1)*C7,0)</f>
        <v>0</v>
      </c>
      <c r="D30" s="29">
        <f>IF('Step 3 Financial'!$C$8&gt;=D2,'Step 3 Financial'!$C$7*(1+'Step 3 Financial'!$C$9)^(D2-1)*D7,0)</f>
        <v>0</v>
      </c>
      <c r="E30" s="29">
        <f>IF('Step 3 Financial'!$C$8&gt;=E2,'Step 3 Financial'!$C$7*(1+'Step 3 Financial'!$C$9)^(E2-1)*E7,0)</f>
        <v>0</v>
      </c>
      <c r="F30" s="29">
        <f>IF('Step 3 Financial'!$C$8&gt;=F2,'Step 3 Financial'!$C$7*(1+'Step 3 Financial'!$C$9)^(F2-1)*F7,0)</f>
        <v>0</v>
      </c>
      <c r="G30" s="29">
        <f>IF('Step 3 Financial'!$C$8&gt;=G2,'Step 3 Financial'!$C$7*(1+'Step 3 Financial'!$C$9)^(G2-1)*G7,0)</f>
        <v>0</v>
      </c>
      <c r="H30" s="29">
        <f>IF('Step 3 Financial'!$C$8&gt;=H2,'Step 3 Financial'!$C$7*(1+'Step 3 Financial'!$C$9)^(H2-1)*H7,0)</f>
        <v>0</v>
      </c>
      <c r="I30" s="29">
        <f>IF('Step 3 Financial'!$C$8&gt;=I2,'Step 3 Financial'!$C$7*(1+'Step 3 Financial'!$C$9)^(I2-1)*I7,0)</f>
        <v>0</v>
      </c>
      <c r="J30" s="29">
        <f>IF('Step 3 Financial'!$C$8&gt;=J2,'Step 3 Financial'!$C$7*(1+'Step 3 Financial'!$C$9)^(J2-1)*J7,0)</f>
        <v>0</v>
      </c>
      <c r="K30" s="29">
        <f>IF('Step 3 Financial'!$C$8&gt;=K2,'Step 3 Financial'!$C$7*(1+'Step 3 Financial'!$C$9)^(K2-1)*K7,0)</f>
        <v>0</v>
      </c>
      <c r="L30" s="29">
        <f>IF('Step 3 Financial'!$C$8&gt;=L2,'Step 3 Financial'!$C$7*(1+'Step 3 Financial'!$C$9)^(L2-1)*L7,0)</f>
        <v>0</v>
      </c>
      <c r="M30" s="29">
        <f>IF('Step 3 Financial'!$C$8&gt;=M2,'Step 3 Financial'!$C$7*(1+'Step 3 Financial'!$C$9)^(M2-1)*M7,0)</f>
        <v>0</v>
      </c>
      <c r="N30" s="29">
        <f>IF('Step 3 Financial'!$C$8&gt;=N2,'Step 3 Financial'!$C$7*(1+'Step 3 Financial'!$C$9)^(N2-1)*N7,0)</f>
        <v>0</v>
      </c>
      <c r="O30" s="29">
        <f>IF('Step 3 Financial'!$C$8&gt;=O2,'Step 3 Financial'!$C$7*(1+'Step 3 Financial'!$C$9)^(O2-1)*O7,0)</f>
        <v>0</v>
      </c>
      <c r="P30" s="29">
        <f>IF('Step 3 Financial'!$C$8&gt;=P2,'Step 3 Financial'!$C$7*(1+'Step 3 Financial'!$C$9)^(P2-1)*P7,0)</f>
        <v>0</v>
      </c>
      <c r="Q30" s="29">
        <f>IF('Step 3 Financial'!$C$8&gt;=Q2,'Step 3 Financial'!$C$7*(1+'Step 3 Financial'!$C$9)^(Q2-1)*Q7,0)</f>
        <v>0</v>
      </c>
      <c r="R30" s="29">
        <f>IF('Step 3 Financial'!$C$8&gt;=R2,'Step 3 Financial'!$C$7*(1+'Step 3 Financial'!$C$9)^(R2-1)*R7,0)</f>
        <v>0</v>
      </c>
      <c r="S30" s="29">
        <f>IF('Step 3 Financial'!$C$8&gt;=S2,'Step 3 Financial'!$C$7*(1+'Step 3 Financial'!$C$9)^(S2-1)*S7,0)</f>
        <v>0</v>
      </c>
      <c r="T30" s="29">
        <f>IF('Step 3 Financial'!$C$8&gt;=T2,'Step 3 Financial'!$C$7*(1+'Step 3 Financial'!$C$9)^(T2-1)*T7,0)</f>
        <v>0</v>
      </c>
      <c r="U30" s="29">
        <f>IF('Step 3 Financial'!$C$8&gt;=U2,'Step 3 Financial'!$C$7*(1+'Step 3 Financial'!$C$9)^(U2-1)*U7,0)</f>
        <v>0</v>
      </c>
      <c r="V30" s="29">
        <f>IF('Step 3 Financial'!$C$8&gt;=V2,'Step 3 Financial'!$C$7*(1+'Step 3 Financial'!$C$9)^(V2-1)*V7,0)</f>
        <v>0</v>
      </c>
      <c r="W30" s="29">
        <f>IF('Step 3 Financial'!$C$8&gt;=W2,'Step 3 Financial'!$C$7*(1+'Step 3 Financial'!$C$9)^(W2-1)*W7,0)</f>
        <v>0</v>
      </c>
      <c r="X30" s="29">
        <f>IF('Step 3 Financial'!$C$8&gt;=X2,'Step 3 Financial'!$C$7*(1+'Step 3 Financial'!$C$9)^(X2-1)*X7,0)</f>
        <v>0</v>
      </c>
      <c r="Y30" s="29">
        <f>IF('Step 3 Financial'!$C$8&gt;=Y2,'Step 3 Financial'!$C$7*(1+'Step 3 Financial'!$C$9)^(Y2-1)*Y7,0)</f>
        <v>0</v>
      </c>
      <c r="Z30" s="29">
        <f>IF('Step 3 Financial'!$C$8&gt;=Z2,'Step 3 Financial'!$C$7*(1+'Step 3 Financial'!$C$9)^(Z2-1)*Z7,0)</f>
        <v>0</v>
      </c>
      <c r="AA30" s="29">
        <f>IF('Step 3 Financial'!$C$8&gt;=AA2,'Step 3 Financial'!$C$7*(1+'Step 3 Financial'!$C$9)^(AA2-1)*AA7,0)</f>
        <v>0</v>
      </c>
    </row>
    <row r="31" spans="1:27">
      <c r="A31" s="15" t="s">
        <v>81</v>
      </c>
      <c r="C31" s="27">
        <f>IF('Step 3 Financial'!$C11&gt;=C2,$B3*'Step 3 Financial'!$C10/'Step 3 Financial'!$C11,0)</f>
        <v>0</v>
      </c>
      <c r="D31" s="27">
        <f>IF('Step 3 Financial'!$C11&gt;=D2,$B3*'Step 3 Financial'!$C10/'Step 3 Financial'!$C11,0)</f>
        <v>0</v>
      </c>
      <c r="E31" s="27">
        <f>IF('Step 3 Financial'!$C11&gt;=E2,$B3*'Step 3 Financial'!$C10/'Step 3 Financial'!$C11,0)</f>
        <v>0</v>
      </c>
      <c r="F31" s="27">
        <f>IF('Step 3 Financial'!$C11&gt;=F2,$B3*'Step 3 Financial'!$C10/'Step 3 Financial'!$C11,0)</f>
        <v>0</v>
      </c>
      <c r="G31" s="27">
        <f>IF('Step 3 Financial'!$C11&gt;=G2,$B3*'Step 3 Financial'!$C10/'Step 3 Financial'!$C11,0)</f>
        <v>0</v>
      </c>
      <c r="H31" s="27">
        <f>IF('Step 3 Financial'!$C11&gt;=H2,$B3*'Step 3 Financial'!$C10/'Step 3 Financial'!$C11,0)</f>
        <v>0</v>
      </c>
      <c r="I31" s="27">
        <f>IF('Step 3 Financial'!$C11&gt;=I2,$B3*'Step 3 Financial'!$C10/'Step 3 Financial'!$C11,0)</f>
        <v>0</v>
      </c>
      <c r="J31" s="27">
        <f>IF('Step 3 Financial'!$C11&gt;=J2,$B3*'Step 3 Financial'!$C10/'Step 3 Financial'!$C11,0)</f>
        <v>0</v>
      </c>
      <c r="K31" s="27">
        <f>IF('Step 3 Financial'!$C11&gt;=K2,$B3*'Step 3 Financial'!$C10/'Step 3 Financial'!$C11,0)</f>
        <v>0</v>
      </c>
      <c r="L31" s="27">
        <f>IF('Step 3 Financial'!$C11&gt;=L2,$B3*'Step 3 Financial'!$C10/'Step 3 Financial'!$C11,0)</f>
        <v>0</v>
      </c>
      <c r="M31" s="27">
        <f>IF('Step 3 Financial'!$C11&gt;=M2,$B3*'Step 3 Financial'!$C10/'Step 3 Financial'!$C11,0)</f>
        <v>0</v>
      </c>
      <c r="N31" s="27">
        <f>IF('Step 3 Financial'!$C11&gt;=N2,$B3*'Step 3 Financial'!$C10/'Step 3 Financial'!$C11,0)</f>
        <v>0</v>
      </c>
      <c r="O31" s="27">
        <f>IF('Step 3 Financial'!$C11&gt;=O2,$B3*'Step 3 Financial'!$C10/'Step 3 Financial'!$C11,0)</f>
        <v>0</v>
      </c>
      <c r="P31" s="27">
        <f>IF('Step 3 Financial'!$C11&gt;=P2,$B3*'Step 3 Financial'!$C10/'Step 3 Financial'!$C11,0)</f>
        <v>0</v>
      </c>
      <c r="Q31" s="27">
        <f>IF('Step 3 Financial'!$C11&gt;=Q2,$B3*'Step 3 Financial'!$C10/'Step 3 Financial'!$C11,0)</f>
        <v>0</v>
      </c>
      <c r="R31" s="27">
        <f>IF('Step 3 Financial'!$C11&gt;=R2,$B3*'Step 3 Financial'!$C10/'Step 3 Financial'!$C11,0)</f>
        <v>0</v>
      </c>
      <c r="S31" s="27">
        <f>IF('Step 3 Financial'!$C11&gt;=S2,$B3*'Step 3 Financial'!$C10/'Step 3 Financial'!$C11,0)</f>
        <v>0</v>
      </c>
      <c r="T31" s="27">
        <f>IF('Step 3 Financial'!$C11&gt;=T2,$B3*'Step 3 Financial'!$C10/'Step 3 Financial'!$C11,0)</f>
        <v>0</v>
      </c>
      <c r="U31" s="27">
        <f>IF('Step 3 Financial'!$C11&gt;=U2,$B3*'Step 3 Financial'!$C10/'Step 3 Financial'!$C11,0)</f>
        <v>0</v>
      </c>
      <c r="V31" s="27">
        <f>IF('Step 3 Financial'!$C11&gt;=V2,$B3*'Step 3 Financial'!$C10/'Step 3 Financial'!$C11,0)</f>
        <v>0</v>
      </c>
      <c r="W31" s="27">
        <f>IF('Step 3 Financial'!$C11&gt;=W2,$B3*'Step 3 Financial'!$C10/'Step 3 Financial'!$C11,0)</f>
        <v>0</v>
      </c>
      <c r="X31" s="27">
        <f>IF('Step 3 Financial'!$C11&gt;=X2,$B3*'Step 3 Financial'!$C10/'Step 3 Financial'!$C11,0)</f>
        <v>0</v>
      </c>
      <c r="Y31" s="27">
        <f>IF('Step 3 Financial'!$C11&gt;=Y2,$B3*'Step 3 Financial'!$C10/'Step 3 Financial'!$C11,0)</f>
        <v>0</v>
      </c>
      <c r="Z31" s="27">
        <f>IF('Step 3 Financial'!$C11&gt;=Z2,$B3*'Step 3 Financial'!$C10/'Step 3 Financial'!$C11,0)</f>
        <v>0</v>
      </c>
      <c r="AA31" s="27">
        <f>IF('Step 3 Financial'!$C11&gt;=AA2,$B3*'Step 3 Financial'!$C10/'Step 3 Financial'!$C11,0)</f>
        <v>0</v>
      </c>
    </row>
    <row r="32" spans="1:27">
      <c r="A32" s="17" t="s">
        <v>82</v>
      </c>
      <c r="C32" s="26">
        <f>SUM(C29:C31)</f>
        <v>0</v>
      </c>
      <c r="D32" s="26">
        <f t="shared" ref="D32:AA32" si="9">SUM(D29:D31)</f>
        <v>0</v>
      </c>
      <c r="E32" s="26">
        <f t="shared" si="9"/>
        <v>0</v>
      </c>
      <c r="F32" s="26">
        <f t="shared" si="9"/>
        <v>0</v>
      </c>
      <c r="G32" s="26">
        <f t="shared" si="9"/>
        <v>0</v>
      </c>
      <c r="H32" s="26">
        <f t="shared" si="9"/>
        <v>0</v>
      </c>
      <c r="I32" s="26">
        <f t="shared" si="9"/>
        <v>0</v>
      </c>
      <c r="J32" s="26">
        <f t="shared" si="9"/>
        <v>-514.91278608574066</v>
      </c>
      <c r="K32" s="26">
        <f t="shared" si="9"/>
        <v>-574.5208852632195</v>
      </c>
      <c r="L32" s="26">
        <f t="shared" si="9"/>
        <v>-640.0897943584464</v>
      </c>
      <c r="M32" s="26">
        <f t="shared" si="9"/>
        <v>-712.21559436319569</v>
      </c>
      <c r="N32" s="26">
        <f t="shared" si="9"/>
        <v>-712.21559436319569</v>
      </c>
      <c r="O32" s="26">
        <f t="shared" si="9"/>
        <v>-712.21559436319569</v>
      </c>
      <c r="P32" s="26">
        <f t="shared" si="9"/>
        <v>-712.21559436319569</v>
      </c>
      <c r="Q32" s="26">
        <f t="shared" si="9"/>
        <v>-712.21559436319569</v>
      </c>
      <c r="R32" s="26">
        <f t="shared" si="9"/>
        <v>-712.21559436319603</v>
      </c>
      <c r="S32" s="26">
        <f t="shared" si="9"/>
        <v>-712.21559436319603</v>
      </c>
      <c r="T32" s="26">
        <f t="shared" si="9"/>
        <v>-712.21559436319603</v>
      </c>
      <c r="U32" s="26">
        <f t="shared" si="9"/>
        <v>-712.21559436319603</v>
      </c>
      <c r="V32" s="26">
        <f t="shared" si="9"/>
        <v>-712.21559436319603</v>
      </c>
      <c r="W32" s="26">
        <f t="shared" si="9"/>
        <v>-1087.215594363196</v>
      </c>
      <c r="X32" s="26">
        <f t="shared" si="9"/>
        <v>-1087.215594363196</v>
      </c>
      <c r="Y32" s="26">
        <f t="shared" si="9"/>
        <v>-1087.215594363196</v>
      </c>
      <c r="Z32" s="26">
        <f t="shared" si="9"/>
        <v>-1087.215594363196</v>
      </c>
      <c r="AA32" s="26">
        <f t="shared" si="9"/>
        <v>-1087.215594363196</v>
      </c>
    </row>
    <row r="33" spans="1:27">
      <c r="A33" s="68" t="s">
        <v>83</v>
      </c>
      <c r="C33" s="69">
        <f>C32+C26</f>
        <v>2247.1559436319603</v>
      </c>
      <c r="D33" s="69">
        <f t="shared" ref="D33:AA33" si="10">D32+D26</f>
        <v>2553.039743684205</v>
      </c>
      <c r="E33" s="69">
        <f t="shared" si="10"/>
        <v>2889.5119237416711</v>
      </c>
      <c r="F33" s="69">
        <f t="shared" si="10"/>
        <v>3259.6313218048872</v>
      </c>
      <c r="G33" s="69">
        <f t="shared" si="10"/>
        <v>3666.7626596744249</v>
      </c>
      <c r="H33" s="69">
        <f t="shared" si="10"/>
        <v>4114.6071313309149</v>
      </c>
      <c r="I33" s="69">
        <f t="shared" si="10"/>
        <v>4607.2360501530529</v>
      </c>
      <c r="J33" s="69">
        <f t="shared" si="10"/>
        <v>4634.215074771666</v>
      </c>
      <c r="K33" s="69">
        <f t="shared" si="10"/>
        <v>5170.6879673689755</v>
      </c>
      <c r="L33" s="69">
        <f t="shared" si="10"/>
        <v>5760.8081492260171</v>
      </c>
      <c r="M33" s="69">
        <f t="shared" si="10"/>
        <v>6409.9403492687607</v>
      </c>
      <c r="N33" s="69">
        <f t="shared" si="10"/>
        <v>6409.9403492687607</v>
      </c>
      <c r="O33" s="69">
        <f t="shared" si="10"/>
        <v>6409.9403492687607</v>
      </c>
      <c r="P33" s="69">
        <f t="shared" si="10"/>
        <v>6409.9403492687607</v>
      </c>
      <c r="Q33" s="69">
        <f t="shared" si="10"/>
        <v>6409.9403492687607</v>
      </c>
      <c r="R33" s="69">
        <f t="shared" si="10"/>
        <v>6409.9403492687643</v>
      </c>
      <c r="S33" s="69">
        <f t="shared" si="10"/>
        <v>6409.9403492687643</v>
      </c>
      <c r="T33" s="69">
        <f t="shared" si="10"/>
        <v>6409.9403492687643</v>
      </c>
      <c r="U33" s="69">
        <f t="shared" si="10"/>
        <v>6409.9403492687643</v>
      </c>
      <c r="V33" s="69">
        <f t="shared" si="10"/>
        <v>6409.9403492687643</v>
      </c>
      <c r="W33" s="69">
        <f t="shared" si="10"/>
        <v>9784.9403492687634</v>
      </c>
      <c r="X33" s="69">
        <f t="shared" si="10"/>
        <v>9784.9403492687634</v>
      </c>
      <c r="Y33" s="69">
        <f t="shared" si="10"/>
        <v>9784.9403492687634</v>
      </c>
      <c r="Z33" s="69">
        <f t="shared" si="10"/>
        <v>9784.9403492687634</v>
      </c>
      <c r="AA33" s="69">
        <f t="shared" si="10"/>
        <v>9784.9403492687634</v>
      </c>
    </row>
    <row r="34" spans="1:27">
      <c r="A34" s="17"/>
    </row>
    <row r="35" spans="1:27">
      <c r="A35" s="11" t="s">
        <v>84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</row>
    <row r="36" spans="1:27">
      <c r="A36" s="15" t="s">
        <v>85</v>
      </c>
      <c r="C36" s="27">
        <f>C22</f>
        <v>3750</v>
      </c>
      <c r="D36" s="27">
        <f t="shared" ref="D36:AA36" si="11">D22</f>
        <v>3750</v>
      </c>
      <c r="E36" s="27">
        <f t="shared" si="11"/>
        <v>3750</v>
      </c>
      <c r="F36" s="27">
        <f t="shared" si="11"/>
        <v>3750</v>
      </c>
      <c r="G36" s="27">
        <f t="shared" si="11"/>
        <v>3750</v>
      </c>
      <c r="H36" s="27">
        <f t="shared" si="11"/>
        <v>3750</v>
      </c>
      <c r="I36" s="27">
        <f t="shared" si="11"/>
        <v>3750</v>
      </c>
      <c r="J36" s="27">
        <f t="shared" si="11"/>
        <v>3750</v>
      </c>
      <c r="K36" s="27">
        <f t="shared" si="11"/>
        <v>3750</v>
      </c>
      <c r="L36" s="27">
        <f t="shared" si="11"/>
        <v>3750</v>
      </c>
      <c r="M36" s="27">
        <f t="shared" si="11"/>
        <v>3750</v>
      </c>
      <c r="N36" s="27">
        <f t="shared" si="11"/>
        <v>3750</v>
      </c>
      <c r="O36" s="27">
        <f t="shared" si="11"/>
        <v>3750</v>
      </c>
      <c r="P36" s="27">
        <f t="shared" si="11"/>
        <v>3750</v>
      </c>
      <c r="Q36" s="27">
        <f t="shared" si="11"/>
        <v>3750</v>
      </c>
      <c r="R36" s="27">
        <f t="shared" si="11"/>
        <v>3750</v>
      </c>
      <c r="S36" s="27">
        <f t="shared" si="11"/>
        <v>3750</v>
      </c>
      <c r="T36" s="27">
        <f t="shared" si="11"/>
        <v>3750</v>
      </c>
      <c r="U36" s="27">
        <f t="shared" si="11"/>
        <v>3750</v>
      </c>
      <c r="V36" s="27">
        <f t="shared" si="11"/>
        <v>3750</v>
      </c>
      <c r="W36" s="27">
        <f t="shared" si="11"/>
        <v>0</v>
      </c>
      <c r="X36" s="27">
        <f t="shared" si="11"/>
        <v>0</v>
      </c>
      <c r="Y36" s="27">
        <f t="shared" si="11"/>
        <v>0</v>
      </c>
      <c r="Z36" s="27">
        <f t="shared" si="11"/>
        <v>0</v>
      </c>
      <c r="AA36" s="27">
        <f t="shared" si="11"/>
        <v>0</v>
      </c>
    </row>
    <row r="37" spans="1:27">
      <c r="A37" s="13" t="s">
        <v>86</v>
      </c>
      <c r="C37" s="29">
        <f>B70</f>
        <v>3058.8380005224381</v>
      </c>
      <c r="D37" s="29">
        <f t="shared" ref="D37:AA37" si="12">C70</f>
        <v>3364.7218005746818</v>
      </c>
      <c r="E37" s="29">
        <f t="shared" si="12"/>
        <v>3701.1939806321498</v>
      </c>
      <c r="F37" s="29">
        <f t="shared" si="12"/>
        <v>4071.3133786953654</v>
      </c>
      <c r="G37" s="29">
        <f t="shared" si="12"/>
        <v>4478.4447165649017</v>
      </c>
      <c r="H37" s="29">
        <f t="shared" si="12"/>
        <v>4926.2891882213917</v>
      </c>
      <c r="I37" s="29">
        <f t="shared" si="12"/>
        <v>5418.9181070435316</v>
      </c>
      <c r="J37" s="29">
        <f t="shared" si="12"/>
        <v>5960.8099177478844</v>
      </c>
      <c r="K37" s="29">
        <f t="shared" si="12"/>
        <v>6556.8909095226727</v>
      </c>
      <c r="L37" s="29">
        <f t="shared" si="12"/>
        <v>7212.5800004749399</v>
      </c>
      <c r="M37" s="29">
        <f t="shared" si="12"/>
        <v>0</v>
      </c>
      <c r="N37" s="29">
        <f t="shared" si="12"/>
        <v>0</v>
      </c>
      <c r="O37" s="29">
        <f t="shared" si="12"/>
        <v>0</v>
      </c>
      <c r="P37" s="29">
        <f t="shared" si="12"/>
        <v>0</v>
      </c>
      <c r="Q37" s="29">
        <f t="shared" si="12"/>
        <v>0</v>
      </c>
      <c r="R37" s="29">
        <f t="shared" si="12"/>
        <v>0</v>
      </c>
      <c r="S37" s="29">
        <f t="shared" si="12"/>
        <v>0</v>
      </c>
      <c r="T37" s="29">
        <f t="shared" si="12"/>
        <v>0</v>
      </c>
      <c r="U37" s="29">
        <f t="shared" si="12"/>
        <v>0</v>
      </c>
      <c r="V37" s="29">
        <f t="shared" si="12"/>
        <v>0</v>
      </c>
      <c r="W37" s="29">
        <f t="shared" si="12"/>
        <v>0</v>
      </c>
      <c r="X37" s="29">
        <f t="shared" si="12"/>
        <v>0</v>
      </c>
      <c r="Y37" s="29">
        <f t="shared" si="12"/>
        <v>0</v>
      </c>
      <c r="Z37" s="29">
        <f t="shared" si="12"/>
        <v>0</v>
      </c>
      <c r="AA37" s="29">
        <f t="shared" si="12"/>
        <v>0</v>
      </c>
    </row>
    <row r="38" spans="1:27">
      <c r="A38" s="23" t="s">
        <v>87</v>
      </c>
      <c r="B38" s="79">
        <f>-B5</f>
        <v>-26250</v>
      </c>
      <c r="C38" s="69">
        <f>C33+C36-C37</f>
        <v>2938.3179431095223</v>
      </c>
      <c r="D38" s="69">
        <f t="shared" ref="D38:AA38" si="13">D33+D36-D37</f>
        <v>2938.3179431095232</v>
      </c>
      <c r="E38" s="69">
        <f t="shared" si="13"/>
        <v>2938.3179431095214</v>
      </c>
      <c r="F38" s="69">
        <f t="shared" si="13"/>
        <v>2938.3179431095218</v>
      </c>
      <c r="G38" s="69">
        <f t="shared" si="13"/>
        <v>2938.3179431095232</v>
      </c>
      <c r="H38" s="69">
        <f t="shared" si="13"/>
        <v>2938.3179431095232</v>
      </c>
      <c r="I38" s="69">
        <f t="shared" si="13"/>
        <v>2938.3179431095214</v>
      </c>
      <c r="J38" s="69">
        <f t="shared" si="13"/>
        <v>2423.4051570237816</v>
      </c>
      <c r="K38" s="69">
        <f t="shared" si="13"/>
        <v>2363.7970578463037</v>
      </c>
      <c r="L38" s="69">
        <f t="shared" si="13"/>
        <v>2298.2281487510772</v>
      </c>
      <c r="M38" s="69">
        <f t="shared" si="13"/>
        <v>10159.94034926876</v>
      </c>
      <c r="N38" s="69">
        <f t="shared" si="13"/>
        <v>10159.94034926876</v>
      </c>
      <c r="O38" s="69">
        <f t="shared" si="13"/>
        <v>10159.94034926876</v>
      </c>
      <c r="P38" s="69">
        <f t="shared" si="13"/>
        <v>10159.94034926876</v>
      </c>
      <c r="Q38" s="69">
        <f t="shared" si="13"/>
        <v>10159.94034926876</v>
      </c>
      <c r="R38" s="69">
        <f t="shared" si="13"/>
        <v>10159.940349268763</v>
      </c>
      <c r="S38" s="69">
        <f t="shared" si="13"/>
        <v>10159.940349268763</v>
      </c>
      <c r="T38" s="69">
        <f t="shared" si="13"/>
        <v>10159.940349268763</v>
      </c>
      <c r="U38" s="69">
        <f t="shared" si="13"/>
        <v>10159.940349268763</v>
      </c>
      <c r="V38" s="69">
        <f t="shared" si="13"/>
        <v>10159.940349268763</v>
      </c>
      <c r="W38" s="69">
        <f t="shared" si="13"/>
        <v>9784.9403492687634</v>
      </c>
      <c r="X38" s="69">
        <f t="shared" si="13"/>
        <v>9784.9403492687634</v>
      </c>
      <c r="Y38" s="69">
        <f t="shared" si="13"/>
        <v>9784.9403492687634</v>
      </c>
      <c r="Z38" s="69">
        <f t="shared" si="13"/>
        <v>9784.9403492687634</v>
      </c>
      <c r="AA38" s="69">
        <f t="shared" si="13"/>
        <v>9784.9403492687634</v>
      </c>
    </row>
    <row r="39" spans="1:27">
      <c r="A39" s="77"/>
    </row>
    <row r="40" spans="1:27">
      <c r="A40" s="78" t="s">
        <v>88</v>
      </c>
      <c r="B40" s="79">
        <f>B38</f>
        <v>-26250</v>
      </c>
      <c r="C40" s="69">
        <f>C38+B40</f>
        <v>-23311.682056890477</v>
      </c>
      <c r="D40" s="69">
        <f t="shared" ref="D40:AA40" si="14">D38+C40</f>
        <v>-20373.364113780954</v>
      </c>
      <c r="E40" s="69">
        <f t="shared" si="14"/>
        <v>-17435.046170671434</v>
      </c>
      <c r="F40" s="69">
        <f t="shared" si="14"/>
        <v>-14496.728227561913</v>
      </c>
      <c r="G40" s="69">
        <f t="shared" si="14"/>
        <v>-11558.41028445239</v>
      </c>
      <c r="H40" s="69">
        <f t="shared" si="14"/>
        <v>-8620.0923413428663</v>
      </c>
      <c r="I40" s="69">
        <f t="shared" si="14"/>
        <v>-5681.774398233345</v>
      </c>
      <c r="J40" s="69">
        <f t="shared" si="14"/>
        <v>-3258.3692412095634</v>
      </c>
      <c r="K40" s="69">
        <f t="shared" si="14"/>
        <v>-894.57218336325968</v>
      </c>
      <c r="L40" s="69">
        <f t="shared" si="14"/>
        <v>1403.6559653878176</v>
      </c>
      <c r="M40" s="69">
        <f t="shared" si="14"/>
        <v>11563.596314656577</v>
      </c>
      <c r="N40" s="69">
        <f t="shared" si="14"/>
        <v>21723.536663925337</v>
      </c>
      <c r="O40" s="69">
        <f t="shared" si="14"/>
        <v>31883.477013194097</v>
      </c>
      <c r="P40" s="69">
        <f t="shared" si="14"/>
        <v>42043.41736246286</v>
      </c>
      <c r="Q40" s="69">
        <f t="shared" si="14"/>
        <v>52203.357711731616</v>
      </c>
      <c r="R40" s="69">
        <f t="shared" si="14"/>
        <v>62363.29806100038</v>
      </c>
      <c r="S40" s="69">
        <f t="shared" si="14"/>
        <v>72523.238410269143</v>
      </c>
      <c r="T40" s="69">
        <f t="shared" si="14"/>
        <v>82683.178759537899</v>
      </c>
      <c r="U40" s="69">
        <f t="shared" si="14"/>
        <v>92843.119108806655</v>
      </c>
      <c r="V40" s="69">
        <f t="shared" si="14"/>
        <v>103003.05945807541</v>
      </c>
      <c r="W40" s="69">
        <f t="shared" si="14"/>
        <v>112787.99980734417</v>
      </c>
      <c r="X40" s="69">
        <f t="shared" si="14"/>
        <v>122572.94015661292</v>
      </c>
      <c r="Y40" s="69">
        <f t="shared" si="14"/>
        <v>132357.88050588168</v>
      </c>
      <c r="Z40" s="69">
        <f t="shared" si="14"/>
        <v>142142.82085515044</v>
      </c>
      <c r="AA40" s="69">
        <f t="shared" si="14"/>
        <v>151927.76120441919</v>
      </c>
    </row>
    <row r="41" spans="1:27">
      <c r="A41" s="6"/>
      <c r="B41" s="26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</row>
    <row r="42" spans="1:27">
      <c r="A42" s="70" t="s">
        <v>89</v>
      </c>
      <c r="B42" s="69">
        <f>-B3</f>
        <v>-75000</v>
      </c>
      <c r="C42" s="69">
        <f>C38+B42</f>
        <v>-72061.68205689048</v>
      </c>
      <c r="D42" s="69">
        <f t="shared" ref="D42:AA42" si="15">D38+C42</f>
        <v>-69123.364113780961</v>
      </c>
      <c r="E42" s="69">
        <f t="shared" si="15"/>
        <v>-66185.046170671441</v>
      </c>
      <c r="F42" s="69">
        <f t="shared" si="15"/>
        <v>-63246.728227561922</v>
      </c>
      <c r="G42" s="69">
        <f t="shared" si="15"/>
        <v>-60308.410284452402</v>
      </c>
      <c r="H42" s="69">
        <f t="shared" si="15"/>
        <v>-57370.092341342883</v>
      </c>
      <c r="I42" s="69">
        <f t="shared" si="15"/>
        <v>-54431.774398233363</v>
      </c>
      <c r="J42" s="69">
        <f t="shared" si="15"/>
        <v>-52008.369241209584</v>
      </c>
      <c r="K42" s="69">
        <f t="shared" si="15"/>
        <v>-49644.572183363278</v>
      </c>
      <c r="L42" s="69">
        <f t="shared" si="15"/>
        <v>-47346.344034612201</v>
      </c>
      <c r="M42" s="69">
        <f t="shared" si="15"/>
        <v>-37186.403685343437</v>
      </c>
      <c r="N42" s="69">
        <f t="shared" si="15"/>
        <v>-27026.463336074677</v>
      </c>
      <c r="O42" s="69">
        <f t="shared" si="15"/>
        <v>-16866.522986805918</v>
      </c>
      <c r="P42" s="69">
        <f t="shared" si="15"/>
        <v>-6706.582637537158</v>
      </c>
      <c r="Q42" s="69">
        <f t="shared" si="15"/>
        <v>3453.3577117316017</v>
      </c>
      <c r="R42" s="69">
        <f t="shared" si="15"/>
        <v>13613.298061000365</v>
      </c>
      <c r="S42" s="69">
        <f t="shared" si="15"/>
        <v>23773.238410269129</v>
      </c>
      <c r="T42" s="69">
        <f t="shared" si="15"/>
        <v>33933.178759537892</v>
      </c>
      <c r="U42" s="69">
        <f t="shared" si="15"/>
        <v>44093.119108806655</v>
      </c>
      <c r="V42" s="69">
        <f t="shared" si="15"/>
        <v>54253.059458075419</v>
      </c>
      <c r="W42" s="69">
        <f t="shared" si="15"/>
        <v>64037.999807344182</v>
      </c>
      <c r="X42" s="69">
        <f t="shared" si="15"/>
        <v>73822.940156612953</v>
      </c>
      <c r="Y42" s="69">
        <f t="shared" si="15"/>
        <v>83607.880505881709</v>
      </c>
      <c r="Z42" s="69">
        <f t="shared" si="15"/>
        <v>93392.820855150465</v>
      </c>
      <c r="AA42" s="69">
        <f t="shared" si="15"/>
        <v>103177.76120441922</v>
      </c>
    </row>
    <row r="43" spans="1:27">
      <c r="A43" s="20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</row>
    <row r="44" spans="1:27">
      <c r="A44" s="11" t="s">
        <v>120</v>
      </c>
      <c r="B44" s="11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</row>
    <row r="45" spans="1:27">
      <c r="A45" s="25" t="s">
        <v>90</v>
      </c>
      <c r="B45" s="72">
        <f>NPV('Step 3 Financial'!$C$29,B$38:V$38)</f>
        <v>13766.281988067009</v>
      </c>
    </row>
    <row r="46" spans="1:27">
      <c r="A46" s="24" t="s">
        <v>93</v>
      </c>
      <c r="B46" s="73">
        <f>IRR(B$38:V$38)</f>
        <v>0.152960134338682</v>
      </c>
    </row>
    <row r="47" spans="1:27">
      <c r="A47" s="24" t="s">
        <v>91</v>
      </c>
      <c r="B47" s="73">
        <f>MIRR(B$38:V$38,'Step 3 Financial'!$C$37,'Step 3 Financial'!$C$38)</f>
        <v>0.10257196376276556</v>
      </c>
    </row>
    <row r="48" spans="1:27">
      <c r="A48" s="24" t="s">
        <v>92</v>
      </c>
      <c r="B48" s="74">
        <f>LOOKUP(0,B40:V40,B2:V2)+1</f>
        <v>10</v>
      </c>
    </row>
    <row r="49" spans="1:2">
      <c r="A49" s="71"/>
    </row>
    <row r="50" spans="1:2">
      <c r="A50" s="25" t="s">
        <v>94</v>
      </c>
      <c r="B50" s="72">
        <f>NPV('Step 3 Financial'!$C$29,B$38:AA$38)</f>
        <v>18778.629232397441</v>
      </c>
    </row>
    <row r="51" spans="1:2">
      <c r="A51" s="24" t="s">
        <v>96</v>
      </c>
      <c r="B51" s="75">
        <f>IRR(B$38:AA$38)</f>
        <v>0.16127076098865478</v>
      </c>
    </row>
    <row r="52" spans="1:2">
      <c r="A52" s="24" t="s">
        <v>95</v>
      </c>
      <c r="B52" s="75">
        <f>MIRR(B$38:AA$38,'Step 3 Financial'!$C$37,'Step 3 Financial'!$C$38)</f>
        <v>0.10089188546549721</v>
      </c>
    </row>
    <row r="53" spans="1:2">
      <c r="A53" s="71"/>
    </row>
    <row r="54" spans="1:2">
      <c r="A54" s="24" t="s">
        <v>113</v>
      </c>
      <c r="B54" s="76">
        <f>MIN(B72:U72)</f>
        <v>1.2896741965993936</v>
      </c>
    </row>
    <row r="55" spans="1:2">
      <c r="A55" s="24" t="s">
        <v>114</v>
      </c>
      <c r="B55" s="76">
        <f>AVERAGE(B72:U72)</f>
        <v>1.3485533226613255</v>
      </c>
    </row>
    <row r="61" spans="1:2">
      <c r="B61" s="112"/>
    </row>
    <row r="65" spans="1:21" ht="15.75" thickBot="1"/>
    <row r="66" spans="1:21">
      <c r="A66" s="30" t="s">
        <v>99</v>
      </c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2"/>
    </row>
    <row r="67" spans="1:21">
      <c r="A67" s="33" t="s">
        <v>57</v>
      </c>
      <c r="B67" s="34">
        <v>1</v>
      </c>
      <c r="C67" s="34">
        <v>2</v>
      </c>
      <c r="D67" s="34">
        <v>3</v>
      </c>
      <c r="E67" s="34">
        <v>4</v>
      </c>
      <c r="F67" s="34">
        <v>5</v>
      </c>
      <c r="G67" s="34">
        <v>6</v>
      </c>
      <c r="H67" s="34">
        <v>7</v>
      </c>
      <c r="I67" s="34">
        <v>8</v>
      </c>
      <c r="J67" s="34">
        <v>9</v>
      </c>
      <c r="K67" s="34">
        <v>10</v>
      </c>
      <c r="L67" s="35">
        <v>11</v>
      </c>
      <c r="M67" s="35">
        <v>12</v>
      </c>
      <c r="N67" s="35">
        <v>13</v>
      </c>
      <c r="O67" s="35">
        <v>14</v>
      </c>
      <c r="P67" s="35">
        <v>15</v>
      </c>
      <c r="Q67" s="35">
        <v>16</v>
      </c>
      <c r="R67" s="35">
        <v>17</v>
      </c>
      <c r="S67" s="35">
        <v>18</v>
      </c>
      <c r="T67" s="35">
        <v>19</v>
      </c>
      <c r="U67" s="35">
        <v>20</v>
      </c>
    </row>
    <row r="68" spans="1:21">
      <c r="A68" s="36" t="s">
        <v>142</v>
      </c>
      <c r="B68" s="37">
        <f>B75</f>
        <v>48750</v>
      </c>
      <c r="C68" s="37">
        <f t="shared" ref="C68:P68" si="16">B71</f>
        <v>45691.161999477561</v>
      </c>
      <c r="D68" s="37">
        <f t="shared" si="16"/>
        <v>42326.440198902877</v>
      </c>
      <c r="E68" s="37">
        <f t="shared" si="16"/>
        <v>38625.246218270724</v>
      </c>
      <c r="F68" s="37">
        <f t="shared" si="16"/>
        <v>34553.932839575362</v>
      </c>
      <c r="G68" s="37">
        <f t="shared" si="16"/>
        <v>30075.488123010458</v>
      </c>
      <c r="H68" s="37">
        <f t="shared" si="16"/>
        <v>25149.198934789067</v>
      </c>
      <c r="I68" s="37">
        <f t="shared" si="16"/>
        <v>19730.280827745533</v>
      </c>
      <c r="J68" s="37">
        <f t="shared" si="16"/>
        <v>13769.47090999765</v>
      </c>
      <c r="K68" s="37">
        <f t="shared" si="16"/>
        <v>7212.5800004749772</v>
      </c>
      <c r="L68" s="37">
        <f t="shared" si="16"/>
        <v>3.7289282772690058E-11</v>
      </c>
      <c r="M68" s="37">
        <f t="shared" si="16"/>
        <v>3.7289282772690058E-11</v>
      </c>
      <c r="N68" s="37">
        <f t="shared" si="16"/>
        <v>3.7289282772690058E-11</v>
      </c>
      <c r="O68" s="37">
        <f t="shared" si="16"/>
        <v>3.7289282772690058E-11</v>
      </c>
      <c r="P68" s="37">
        <f t="shared" si="16"/>
        <v>3.7289282772690058E-11</v>
      </c>
      <c r="Q68" s="37"/>
      <c r="R68" s="37"/>
      <c r="S68" s="37"/>
      <c r="T68" s="37"/>
      <c r="U68" s="38"/>
    </row>
    <row r="69" spans="1:21">
      <c r="A69" s="39" t="s">
        <v>143</v>
      </c>
      <c r="B69" s="40">
        <f>$B$77*B68</f>
        <v>4875</v>
      </c>
      <c r="C69" s="40">
        <f t="shared" ref="C69:P69" si="17">$B$77*C68</f>
        <v>4569.1161999477563</v>
      </c>
      <c r="D69" s="40">
        <f t="shared" si="17"/>
        <v>4232.6440198902883</v>
      </c>
      <c r="E69" s="40">
        <f t="shared" si="17"/>
        <v>3862.5246218270727</v>
      </c>
      <c r="F69" s="40">
        <f t="shared" si="17"/>
        <v>3455.3932839575364</v>
      </c>
      <c r="G69" s="40">
        <f t="shared" si="17"/>
        <v>3007.5488123010459</v>
      </c>
      <c r="H69" s="40">
        <f t="shared" si="17"/>
        <v>2514.9198934789069</v>
      </c>
      <c r="I69" s="40">
        <f t="shared" si="17"/>
        <v>1973.0280827745535</v>
      </c>
      <c r="J69" s="40">
        <f t="shared" si="17"/>
        <v>1376.9470909997651</v>
      </c>
      <c r="K69" s="40">
        <f t="shared" si="17"/>
        <v>721.25800004749772</v>
      </c>
      <c r="L69" s="40">
        <f t="shared" si="17"/>
        <v>3.7289282772690063E-12</v>
      </c>
      <c r="M69" s="40">
        <f t="shared" si="17"/>
        <v>3.7289282772690063E-12</v>
      </c>
      <c r="N69" s="40">
        <f t="shared" si="17"/>
        <v>3.7289282772690063E-12</v>
      </c>
      <c r="O69" s="40">
        <f t="shared" si="17"/>
        <v>3.7289282772690063E-12</v>
      </c>
      <c r="P69" s="40">
        <f t="shared" si="17"/>
        <v>3.7289282772690063E-12</v>
      </c>
      <c r="Q69" s="40"/>
      <c r="R69" s="40"/>
      <c r="S69" s="40"/>
      <c r="T69" s="40"/>
      <c r="U69" s="40"/>
    </row>
    <row r="70" spans="1:21">
      <c r="A70" s="39" t="s">
        <v>144</v>
      </c>
      <c r="B70" s="40">
        <f t="shared" ref="B70:K70" si="18">IF(B68&lt;1,0,$B$74-B69)</f>
        <v>3058.8380005224381</v>
      </c>
      <c r="C70" s="40">
        <f t="shared" si="18"/>
        <v>3364.7218005746818</v>
      </c>
      <c r="D70" s="40">
        <f t="shared" si="18"/>
        <v>3701.1939806321498</v>
      </c>
      <c r="E70" s="40">
        <f t="shared" si="18"/>
        <v>4071.3133786953654</v>
      </c>
      <c r="F70" s="40">
        <f t="shared" si="18"/>
        <v>4478.4447165649017</v>
      </c>
      <c r="G70" s="40">
        <f t="shared" si="18"/>
        <v>4926.2891882213917</v>
      </c>
      <c r="H70" s="40">
        <f t="shared" si="18"/>
        <v>5418.9181070435316</v>
      </c>
      <c r="I70" s="40">
        <f t="shared" si="18"/>
        <v>5960.8099177478844</v>
      </c>
      <c r="J70" s="40">
        <f t="shared" si="18"/>
        <v>6556.8909095226727</v>
      </c>
      <c r="K70" s="40">
        <f t="shared" si="18"/>
        <v>7212.5800004749399</v>
      </c>
      <c r="L70" s="40">
        <f>IF(L68&lt;1,0,$B$74-L69)</f>
        <v>0</v>
      </c>
      <c r="M70" s="40">
        <f t="shared" ref="M70:P70" si="19">IF(M68&lt;1,0,$B$74-M69)</f>
        <v>0</v>
      </c>
      <c r="N70" s="40">
        <f t="shared" si="19"/>
        <v>0</v>
      </c>
      <c r="O70" s="40">
        <f t="shared" si="19"/>
        <v>0</v>
      </c>
      <c r="P70" s="40">
        <f t="shared" si="19"/>
        <v>0</v>
      </c>
      <c r="Q70" s="40"/>
      <c r="R70" s="40"/>
      <c r="S70" s="40"/>
      <c r="T70" s="40"/>
      <c r="U70" s="40"/>
    </row>
    <row r="71" spans="1:21">
      <c r="A71" s="39" t="s">
        <v>145</v>
      </c>
      <c r="B71" s="40">
        <f t="shared" ref="B71:P71" si="20">B68-B70</f>
        <v>45691.161999477561</v>
      </c>
      <c r="C71" s="40">
        <f t="shared" si="20"/>
        <v>42326.440198902877</v>
      </c>
      <c r="D71" s="40">
        <f t="shared" si="20"/>
        <v>38625.246218270724</v>
      </c>
      <c r="E71" s="40">
        <f t="shared" si="20"/>
        <v>34553.932839575362</v>
      </c>
      <c r="F71" s="40">
        <f t="shared" si="20"/>
        <v>30075.488123010458</v>
      </c>
      <c r="G71" s="40">
        <f t="shared" si="20"/>
        <v>25149.198934789067</v>
      </c>
      <c r="H71" s="40">
        <f t="shared" si="20"/>
        <v>19730.280827745533</v>
      </c>
      <c r="I71" s="40">
        <f>I68-I70</f>
        <v>13769.47090999765</v>
      </c>
      <c r="J71" s="40">
        <f t="shared" si="20"/>
        <v>7212.5800004749772</v>
      </c>
      <c r="K71" s="40">
        <f t="shared" si="20"/>
        <v>3.7289282772690058E-11</v>
      </c>
      <c r="L71" s="40">
        <f t="shared" si="20"/>
        <v>3.7289282772690058E-11</v>
      </c>
      <c r="M71" s="40">
        <f t="shared" si="20"/>
        <v>3.7289282772690058E-11</v>
      </c>
      <c r="N71" s="40">
        <f t="shared" si="20"/>
        <v>3.7289282772690058E-11</v>
      </c>
      <c r="O71" s="40">
        <f t="shared" si="20"/>
        <v>3.7289282772690058E-11</v>
      </c>
      <c r="P71" s="40">
        <f t="shared" si="20"/>
        <v>3.7289282772690058E-11</v>
      </c>
      <c r="Q71" s="40"/>
      <c r="R71" s="40"/>
      <c r="S71" s="40"/>
      <c r="T71" s="40"/>
      <c r="U71" s="41"/>
    </row>
    <row r="72" spans="1:21" ht="15.75" thickBot="1">
      <c r="A72" s="42" t="s">
        <v>100</v>
      </c>
      <c r="B72" s="43">
        <f>IF(B67&gt;$B76,"",(C21+C32)/SUM(B69:B70))</f>
        <v>1.3703526518837461</v>
      </c>
      <c r="C72" s="43">
        <f t="shared" ref="C72:U72" si="21">IF(C67&gt;$B76,"",(D21+D32)/SUM(C69:C70))</f>
        <v>1.3703526518837461</v>
      </c>
      <c r="D72" s="43">
        <f t="shared" si="21"/>
        <v>1.3703526518837461</v>
      </c>
      <c r="E72" s="43">
        <f t="shared" si="21"/>
        <v>1.3703526518837461</v>
      </c>
      <c r="F72" s="43">
        <f t="shared" si="21"/>
        <v>1.3703526518837461</v>
      </c>
      <c r="G72" s="43">
        <f t="shared" si="21"/>
        <v>1.3703526518837461</v>
      </c>
      <c r="H72" s="43">
        <f t="shared" si="21"/>
        <v>1.3703526518837459</v>
      </c>
      <c r="I72" s="43">
        <f t="shared" si="21"/>
        <v>1.3054518074183266</v>
      </c>
      <c r="J72" s="43">
        <f t="shared" si="21"/>
        <v>1.297938659409311</v>
      </c>
      <c r="K72" s="43">
        <f t="shared" si="21"/>
        <v>1.2896741965993936</v>
      </c>
      <c r="L72" s="43" t="str">
        <f t="shared" si="21"/>
        <v/>
      </c>
      <c r="M72" s="43" t="str">
        <f t="shared" si="21"/>
        <v/>
      </c>
      <c r="N72" s="43" t="str">
        <f t="shared" si="21"/>
        <v/>
      </c>
      <c r="O72" s="43" t="str">
        <f t="shared" si="21"/>
        <v/>
      </c>
      <c r="P72" s="43" t="str">
        <f t="shared" si="21"/>
        <v/>
      </c>
      <c r="Q72" s="43" t="str">
        <f t="shared" si="21"/>
        <v/>
      </c>
      <c r="R72" s="43" t="str">
        <f t="shared" si="21"/>
        <v/>
      </c>
      <c r="S72" s="43" t="str">
        <f t="shared" si="21"/>
        <v/>
      </c>
      <c r="T72" s="43" t="str">
        <f t="shared" si="21"/>
        <v/>
      </c>
      <c r="U72" s="43" t="str">
        <f t="shared" si="21"/>
        <v/>
      </c>
    </row>
    <row r="74" spans="1:21">
      <c r="A74" s="44" t="s">
        <v>146</v>
      </c>
      <c r="B74" s="45">
        <f>B75*(D75/D76)</f>
        <v>7933.8380005224381</v>
      </c>
    </row>
    <row r="75" spans="1:21">
      <c r="A75" s="44" t="s">
        <v>140</v>
      </c>
      <c r="B75" s="46">
        <f>B3*'Step 3 Financial'!C22</f>
        <v>48750</v>
      </c>
      <c r="D75">
        <f>B77*(1+B77)^B76</f>
        <v>0.2593742460100002</v>
      </c>
    </row>
    <row r="76" spans="1:21">
      <c r="A76" s="44" t="s">
        <v>101</v>
      </c>
      <c r="B76" s="47">
        <f>'Step 3 Financial'!C24</f>
        <v>10</v>
      </c>
      <c r="D76">
        <f>((1+B77)^B76)-1</f>
        <v>1.5937424601000019</v>
      </c>
    </row>
    <row r="77" spans="1:21">
      <c r="A77" s="44" t="s">
        <v>102</v>
      </c>
      <c r="B77" s="1">
        <f>'Step 3 Financial'!C23</f>
        <v>0.1</v>
      </c>
    </row>
    <row r="78" spans="1:21" ht="15.75" thickBot="1"/>
    <row r="79" spans="1:21">
      <c r="A79" s="48" t="s">
        <v>103</v>
      </c>
      <c r="B79" s="49"/>
      <c r="C79" s="49"/>
      <c r="D79" s="49"/>
      <c r="E79" s="49"/>
      <c r="F79" s="49"/>
      <c r="G79" s="50"/>
    </row>
    <row r="80" spans="1:21">
      <c r="A80" s="51"/>
      <c r="B80" s="52"/>
      <c r="C80" s="52"/>
      <c r="D80" s="52"/>
      <c r="E80" s="52"/>
      <c r="F80" s="52"/>
      <c r="G80" s="53"/>
    </row>
    <row r="81" spans="1:21">
      <c r="A81" s="33" t="s">
        <v>141</v>
      </c>
      <c r="B81" s="54">
        <f>B3</f>
        <v>75000</v>
      </c>
      <c r="C81" s="55"/>
      <c r="D81" s="55"/>
      <c r="E81" s="55"/>
      <c r="F81" s="55"/>
      <c r="G81" s="53"/>
    </row>
    <row r="82" spans="1:21">
      <c r="A82" s="33"/>
      <c r="B82" s="56"/>
      <c r="C82" s="55"/>
      <c r="D82" s="55"/>
      <c r="E82" s="55"/>
      <c r="F82" s="55"/>
      <c r="G82" s="53"/>
    </row>
    <row r="83" spans="1:21">
      <c r="A83" s="33" t="s">
        <v>104</v>
      </c>
      <c r="B83" s="57">
        <v>1</v>
      </c>
      <c r="C83" s="57">
        <v>2</v>
      </c>
      <c r="D83" s="57">
        <v>3</v>
      </c>
      <c r="E83" s="57">
        <v>4</v>
      </c>
      <c r="F83" s="57">
        <v>5</v>
      </c>
      <c r="G83" s="58">
        <v>6</v>
      </c>
      <c r="H83" s="57">
        <v>7</v>
      </c>
      <c r="I83" s="57">
        <v>8</v>
      </c>
      <c r="J83" s="58">
        <v>9</v>
      </c>
      <c r="K83" s="57">
        <v>10</v>
      </c>
      <c r="L83" s="58">
        <v>11</v>
      </c>
      <c r="M83" s="57">
        <v>12</v>
      </c>
      <c r="N83" s="58">
        <v>13</v>
      </c>
      <c r="O83" s="57">
        <v>14</v>
      </c>
      <c r="P83" s="58">
        <v>15</v>
      </c>
      <c r="Q83" s="57">
        <v>16</v>
      </c>
      <c r="R83" s="58">
        <v>17</v>
      </c>
      <c r="S83" s="57">
        <v>18</v>
      </c>
      <c r="T83" s="58">
        <v>19</v>
      </c>
      <c r="U83" s="57">
        <v>20</v>
      </c>
    </row>
    <row r="84" spans="1:21">
      <c r="A84" s="33" t="s">
        <v>147</v>
      </c>
      <c r="B84" s="59">
        <f>B81</f>
        <v>75000</v>
      </c>
      <c r="C84" s="59">
        <f t="shared" ref="C84:K84" si="22">B87</f>
        <v>71250</v>
      </c>
      <c r="D84" s="59">
        <f t="shared" si="22"/>
        <v>67500</v>
      </c>
      <c r="E84" s="59">
        <f t="shared" si="22"/>
        <v>63750</v>
      </c>
      <c r="F84" s="59">
        <f t="shared" si="22"/>
        <v>60000</v>
      </c>
      <c r="G84" s="41">
        <f t="shared" si="22"/>
        <v>56250</v>
      </c>
      <c r="H84" s="41">
        <f t="shared" si="22"/>
        <v>52500</v>
      </c>
      <c r="I84" s="41">
        <f t="shared" si="22"/>
        <v>48750</v>
      </c>
      <c r="J84" s="41">
        <f t="shared" si="22"/>
        <v>45000</v>
      </c>
      <c r="K84" s="41">
        <f t="shared" si="22"/>
        <v>41250</v>
      </c>
      <c r="L84" s="41">
        <f t="shared" ref="L84" si="23">K87</f>
        <v>37500</v>
      </c>
      <c r="M84" s="41">
        <f t="shared" ref="M84" si="24">L87</f>
        <v>33750</v>
      </c>
      <c r="N84" s="41">
        <f t="shared" ref="N84" si="25">M87</f>
        <v>30000</v>
      </c>
      <c r="O84" s="41">
        <f t="shared" ref="O84" si="26">N87</f>
        <v>26250</v>
      </c>
      <c r="P84" s="41">
        <f t="shared" ref="P84" si="27">O87</f>
        <v>22500</v>
      </c>
      <c r="Q84" s="41">
        <f t="shared" ref="Q84" si="28">P87</f>
        <v>18750</v>
      </c>
      <c r="R84" s="41">
        <f t="shared" ref="R84" si="29">Q87</f>
        <v>15000</v>
      </c>
      <c r="S84" s="41">
        <f t="shared" ref="S84" si="30">R87</f>
        <v>11250</v>
      </c>
      <c r="T84" s="41">
        <f t="shared" ref="T84" si="31">S87</f>
        <v>7500</v>
      </c>
      <c r="U84" s="41">
        <f t="shared" ref="U84" si="32">T87</f>
        <v>3750</v>
      </c>
    </row>
    <row r="85" spans="1:21">
      <c r="A85" s="33" t="s">
        <v>105</v>
      </c>
      <c r="B85" s="60">
        <f>IF('Step 3 Financial'!$C$33&lt;'Detailed Yearly Proforma'!B83,0,1/'Step 3 Financial'!$C$33)</f>
        <v>0.05</v>
      </c>
      <c r="C85" s="60">
        <f>IF('Step 3 Financial'!$C$33&lt;'Detailed Yearly Proforma'!C83,0,1/'Step 3 Financial'!$C$33)</f>
        <v>0.05</v>
      </c>
      <c r="D85" s="60">
        <f>IF('Step 3 Financial'!$C$33&lt;'Detailed Yearly Proforma'!D83,0,1/'Step 3 Financial'!$C$33)</f>
        <v>0.05</v>
      </c>
      <c r="E85" s="60">
        <f>IF('Step 3 Financial'!$C$33&lt;'Detailed Yearly Proforma'!E83,0,1/'Step 3 Financial'!$C$33)</f>
        <v>0.05</v>
      </c>
      <c r="F85" s="60">
        <f>IF('Step 3 Financial'!$C$33&lt;'Detailed Yearly Proforma'!F83,0,1/'Step 3 Financial'!$C$33)</f>
        <v>0.05</v>
      </c>
      <c r="G85" s="60">
        <f>IF('Step 3 Financial'!$C$33&lt;'Detailed Yearly Proforma'!G83,0,1/'Step 3 Financial'!$C$33)</f>
        <v>0.05</v>
      </c>
      <c r="H85" s="60">
        <f>IF('Step 3 Financial'!$C$33&lt;'Detailed Yearly Proforma'!H83,0,1/'Step 3 Financial'!$C$33)</f>
        <v>0.05</v>
      </c>
      <c r="I85" s="60">
        <f>IF('Step 3 Financial'!$C$33&lt;'Detailed Yearly Proforma'!I83,0,1/'Step 3 Financial'!$C$33)</f>
        <v>0.05</v>
      </c>
      <c r="J85" s="60">
        <f>IF('Step 3 Financial'!$C$33&lt;'Detailed Yearly Proforma'!J83,0,1/'Step 3 Financial'!$C$33)</f>
        <v>0.05</v>
      </c>
      <c r="K85" s="60">
        <f>IF('Step 3 Financial'!$C$33&lt;'Detailed Yearly Proforma'!K83,0,1/'Step 3 Financial'!$C$33)</f>
        <v>0.05</v>
      </c>
      <c r="L85" s="60">
        <f>IF('Step 3 Financial'!$C$33&lt;'Detailed Yearly Proforma'!L83,0,1/'Step 3 Financial'!$C$33)</f>
        <v>0.05</v>
      </c>
      <c r="M85" s="60">
        <f>IF('Step 3 Financial'!$C$33&lt;'Detailed Yearly Proforma'!M83,0,1/'Step 3 Financial'!$C$33)</f>
        <v>0.05</v>
      </c>
      <c r="N85" s="60">
        <f>IF('Step 3 Financial'!$C$33&lt;'Detailed Yearly Proforma'!N83,0,1/'Step 3 Financial'!$C$33)</f>
        <v>0.05</v>
      </c>
      <c r="O85" s="60">
        <f>IF('Step 3 Financial'!$C$33&lt;'Detailed Yearly Proforma'!O83,0,1/'Step 3 Financial'!$C$33)</f>
        <v>0.05</v>
      </c>
      <c r="P85" s="60">
        <f>IF('Step 3 Financial'!$C$33&lt;'Detailed Yearly Proforma'!P83,0,1/'Step 3 Financial'!$C$33)</f>
        <v>0.05</v>
      </c>
      <c r="Q85" s="60">
        <f>IF('Step 3 Financial'!$C$33&lt;'Detailed Yearly Proforma'!Q83,0,1/'Step 3 Financial'!$C$33)</f>
        <v>0.05</v>
      </c>
      <c r="R85" s="60">
        <f>IF('Step 3 Financial'!$C$33&lt;'Detailed Yearly Proforma'!R83,0,1/'Step 3 Financial'!$C$33)</f>
        <v>0.05</v>
      </c>
      <c r="S85" s="60">
        <f>IF('Step 3 Financial'!$C$33&lt;'Detailed Yearly Proforma'!S83,0,1/'Step 3 Financial'!$C$33)</f>
        <v>0.05</v>
      </c>
      <c r="T85" s="60">
        <f>IF('Step 3 Financial'!$C$33&lt;'Detailed Yearly Proforma'!T83,0,1/'Step 3 Financial'!$C$33)</f>
        <v>0.05</v>
      </c>
      <c r="U85" s="60">
        <f>IF('Step 3 Financial'!$C$33&lt;'Detailed Yearly Proforma'!U83,0,1/'Step 3 Financial'!$C$33)</f>
        <v>0.05</v>
      </c>
    </row>
    <row r="86" spans="1:21">
      <c r="A86" s="33" t="s">
        <v>148</v>
      </c>
      <c r="B86" s="59">
        <f>B85*$B$81</f>
        <v>3750</v>
      </c>
      <c r="C86" s="59">
        <f t="shared" ref="C86:K86" si="33">C85*$B$81</f>
        <v>3750</v>
      </c>
      <c r="D86" s="59">
        <f t="shared" si="33"/>
        <v>3750</v>
      </c>
      <c r="E86" s="59">
        <f t="shared" si="33"/>
        <v>3750</v>
      </c>
      <c r="F86" s="59">
        <f t="shared" si="33"/>
        <v>3750</v>
      </c>
      <c r="G86" s="59">
        <f t="shared" si="33"/>
        <v>3750</v>
      </c>
      <c r="H86" s="59">
        <f t="shared" si="33"/>
        <v>3750</v>
      </c>
      <c r="I86" s="59">
        <f t="shared" si="33"/>
        <v>3750</v>
      </c>
      <c r="J86" s="59">
        <f t="shared" si="33"/>
        <v>3750</v>
      </c>
      <c r="K86" s="59">
        <f t="shared" si="33"/>
        <v>3750</v>
      </c>
      <c r="L86" s="59">
        <f t="shared" ref="L86" si="34">L85*$B$81</f>
        <v>3750</v>
      </c>
      <c r="M86" s="59">
        <f t="shared" ref="M86" si="35">M85*$B$81</f>
        <v>3750</v>
      </c>
      <c r="N86" s="59">
        <f t="shared" ref="N86" si="36">N85*$B$81</f>
        <v>3750</v>
      </c>
      <c r="O86" s="59">
        <f t="shared" ref="O86" si="37">O85*$B$81</f>
        <v>3750</v>
      </c>
      <c r="P86" s="59">
        <f t="shared" ref="P86" si="38">P85*$B$81</f>
        <v>3750</v>
      </c>
      <c r="Q86" s="59">
        <f t="shared" ref="Q86" si="39">Q85*$B$81</f>
        <v>3750</v>
      </c>
      <c r="R86" s="59">
        <f t="shared" ref="R86" si="40">R85*$B$81</f>
        <v>3750</v>
      </c>
      <c r="S86" s="59">
        <f t="shared" ref="S86" si="41">S85*$B$81</f>
        <v>3750</v>
      </c>
      <c r="T86" s="59">
        <f t="shared" ref="T86" si="42">T85*$B$81</f>
        <v>3750</v>
      </c>
      <c r="U86" s="59">
        <f t="shared" ref="U86" si="43">U85*$B$81</f>
        <v>3750</v>
      </c>
    </row>
    <row r="87" spans="1:21">
      <c r="A87" s="33" t="s">
        <v>149</v>
      </c>
      <c r="B87" s="59">
        <f t="shared" ref="B87:G87" si="44">B84-B86</f>
        <v>71250</v>
      </c>
      <c r="C87" s="59">
        <f t="shared" si="44"/>
        <v>67500</v>
      </c>
      <c r="D87" s="59">
        <f t="shared" si="44"/>
        <v>63750</v>
      </c>
      <c r="E87" s="59">
        <f t="shared" si="44"/>
        <v>60000</v>
      </c>
      <c r="F87" s="59">
        <f t="shared" si="44"/>
        <v>56250</v>
      </c>
      <c r="G87" s="41">
        <f t="shared" si="44"/>
        <v>52500</v>
      </c>
      <c r="H87" s="41">
        <f>H84-H86</f>
        <v>48750</v>
      </c>
      <c r="I87" s="41">
        <f>I84-I86</f>
        <v>45000</v>
      </c>
      <c r="J87" s="41">
        <f>J84-J86</f>
        <v>41250</v>
      </c>
      <c r="K87" s="41">
        <f>K84-K86</f>
        <v>37500</v>
      </c>
      <c r="L87" s="41">
        <f t="shared" ref="L87:U87" si="45">L84-L86</f>
        <v>33750</v>
      </c>
      <c r="M87" s="41">
        <f t="shared" si="45"/>
        <v>30000</v>
      </c>
      <c r="N87" s="41">
        <f t="shared" si="45"/>
        <v>26250</v>
      </c>
      <c r="O87" s="41">
        <f t="shared" si="45"/>
        <v>22500</v>
      </c>
      <c r="P87" s="41">
        <f t="shared" si="45"/>
        <v>18750</v>
      </c>
      <c r="Q87" s="41">
        <f t="shared" si="45"/>
        <v>15000</v>
      </c>
      <c r="R87" s="41">
        <f t="shared" si="45"/>
        <v>11250</v>
      </c>
      <c r="S87" s="41">
        <f t="shared" si="45"/>
        <v>7500</v>
      </c>
      <c r="T87" s="41">
        <f t="shared" si="45"/>
        <v>3750</v>
      </c>
      <c r="U87" s="41">
        <f t="shared" si="45"/>
        <v>0</v>
      </c>
    </row>
    <row r="88" spans="1:21">
      <c r="A88" s="33"/>
      <c r="B88" s="61"/>
      <c r="C88" s="61"/>
      <c r="D88" s="61"/>
      <c r="E88" s="61"/>
      <c r="F88" s="61"/>
      <c r="G88" s="62"/>
    </row>
    <row r="89" spans="1:21">
      <c r="A89" s="33" t="s">
        <v>150</v>
      </c>
      <c r="B89" s="61">
        <f>SUM(B86:U86)</f>
        <v>75000</v>
      </c>
      <c r="C89" s="61"/>
      <c r="D89" s="61"/>
      <c r="E89" s="61"/>
      <c r="F89" s="61"/>
      <c r="G89" s="62"/>
    </row>
    <row r="90" spans="1:21" ht="15.75" thickBot="1">
      <c r="A90" s="63"/>
      <c r="B90" s="64"/>
      <c r="C90" s="64"/>
      <c r="D90" s="64"/>
      <c r="E90" s="64"/>
      <c r="F90" s="64"/>
      <c r="G90" s="65"/>
    </row>
  </sheetData>
  <sheetProtection sheet="1" objects="1" scenarios="1"/>
  <pageMargins left="0.7" right="0.7" top="0.75" bottom="0.75" header="0.3" footer="0.3"/>
  <pageSetup scale="52" fitToWidth="2" orientation="landscape" r:id="rId1"/>
  <headerFooter>
    <oddHeader>&amp;C&amp;F&amp;R&amp;D</oddHeader>
    <oddFooter>&amp;LAsian Development Bank, QLW project&amp;C&amp;A&amp;R&amp;P, pj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C16"/>
  <sheetViews>
    <sheetView workbookViewId="0">
      <selection activeCell="A17" sqref="A17"/>
    </sheetView>
  </sheetViews>
  <sheetFormatPr defaultRowHeight="15"/>
  <cols>
    <col min="1" max="1" width="20.28515625" style="115" customWidth="1"/>
    <col min="2" max="2" width="16.42578125" customWidth="1"/>
    <col min="3" max="3" width="15.28515625" style="119" customWidth="1"/>
  </cols>
  <sheetData>
    <row r="1" spans="1:3" ht="33" customHeight="1">
      <c r="A1" s="118" t="s">
        <v>184</v>
      </c>
      <c r="B1" s="118" t="s">
        <v>187</v>
      </c>
      <c r="C1" s="118" t="s">
        <v>183</v>
      </c>
    </row>
    <row r="2" spans="1:3">
      <c r="A2" s="115" t="s">
        <v>182</v>
      </c>
    </row>
    <row r="3" spans="1:3">
      <c r="A3" s="115">
        <v>6.5</v>
      </c>
      <c r="B3" s="117">
        <v>0.28999999999999998</v>
      </c>
      <c r="C3" s="119" t="s">
        <v>185</v>
      </c>
    </row>
    <row r="4" spans="1:3">
      <c r="A4" s="115">
        <v>7</v>
      </c>
      <c r="B4" s="117">
        <v>0.33</v>
      </c>
      <c r="C4" s="119" t="s">
        <v>185</v>
      </c>
    </row>
    <row r="5" spans="1:3">
      <c r="A5" s="115">
        <v>7.5</v>
      </c>
      <c r="B5" s="117">
        <v>0.38</v>
      </c>
      <c r="C5" s="119" t="s">
        <v>185</v>
      </c>
    </row>
    <row r="6" spans="1:3">
      <c r="A6" s="115">
        <v>8</v>
      </c>
      <c r="B6" s="117">
        <v>0.4</v>
      </c>
      <c r="C6" s="119" t="s">
        <v>186</v>
      </c>
    </row>
    <row r="7" spans="1:3">
      <c r="A7" s="115">
        <v>8.5</v>
      </c>
      <c r="B7" s="117">
        <v>0.42</v>
      </c>
      <c r="C7" s="119" t="s">
        <v>186</v>
      </c>
    </row>
    <row r="8" spans="1:3">
      <c r="A8" s="115">
        <v>9</v>
      </c>
      <c r="B8" s="117">
        <v>0.45</v>
      </c>
      <c r="C8" s="119" t="s">
        <v>186</v>
      </c>
    </row>
    <row r="9" spans="1:3">
      <c r="A9" s="115">
        <v>9.5</v>
      </c>
      <c r="B9" s="117">
        <v>0.48499999999999999</v>
      </c>
      <c r="C9" s="119" t="s">
        <v>186</v>
      </c>
    </row>
    <row r="10" spans="1:3">
      <c r="A10" s="115">
        <v>10</v>
      </c>
      <c r="B10" s="117">
        <v>0.5</v>
      </c>
      <c r="C10" s="119" t="s">
        <v>20</v>
      </c>
    </row>
    <row r="14" spans="1:3" ht="30.75" customHeight="1">
      <c r="A14" s="124" t="s">
        <v>188</v>
      </c>
      <c r="B14" s="124"/>
      <c r="C14" s="124"/>
    </row>
    <row r="16" spans="1:3" ht="81.75" customHeight="1">
      <c r="A16" s="124" t="s">
        <v>189</v>
      </c>
      <c r="B16" s="124"/>
      <c r="C16" s="124"/>
    </row>
  </sheetData>
  <mergeCells count="2">
    <mergeCell ref="A14:C14"/>
    <mergeCell ref="A16:C16"/>
  </mergeCells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Introduction</vt:lpstr>
      <vt:lpstr>Step 1 General Info</vt:lpstr>
      <vt:lpstr>Step 2 Wind farm</vt:lpstr>
      <vt:lpstr>Step 3 Financial</vt:lpstr>
      <vt:lpstr>Summary Results</vt:lpstr>
      <vt:lpstr>Uncertainty Analysis</vt:lpstr>
      <vt:lpstr>Detailed Yearly Proforma</vt:lpstr>
      <vt:lpstr>Plant Capacity Factor</vt:lpstr>
      <vt:lpstr>'Detailed Yearly Proforma'!Print_Area</vt:lpstr>
      <vt:lpstr>Introduction!Print_Area</vt:lpstr>
      <vt:lpstr>'Detailed Yearly Proforma'!Print_Titles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pramod</dc:creator>
  <cp:lastModifiedBy>pramod</cp:lastModifiedBy>
  <cp:lastPrinted>2012-10-09T08:25:35Z</cp:lastPrinted>
  <dcterms:created xsi:type="dcterms:W3CDTF">2012-08-28T21:58:55Z</dcterms:created>
  <dcterms:modified xsi:type="dcterms:W3CDTF">2012-10-19T00:10:48Z</dcterms:modified>
</cp:coreProperties>
</file>